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39434AF7-F2E4-4025-BA78-87E545A05082}" xr6:coauthVersionLast="36" xr6:coauthVersionMax="47" xr10:uidLastSave="{00000000-0000-0000-0000-000000000000}"/>
  <bookViews>
    <workbookView xWindow="0" yWindow="0" windowWidth="28800" windowHeight="12225" firstSheet="1"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Report'!$A$1:$J$140</definedName>
    <definedName name="_xlnm.Print_Area" localSheetId="2">'Photo Gallery'!$A$1:$R$86</definedName>
    <definedName name="procurement">[2]Sheet2!$D$12:$D$15</definedName>
    <definedName name="ReportType">'Major Project Report'!$B$3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3" l="1"/>
  <c r="E51" i="3" l="1"/>
  <c r="F87" i="3" l="1"/>
  <c r="F88" i="3" s="1"/>
  <c r="E50" i="3" l="1"/>
  <c r="E49" i="3" l="1"/>
  <c r="H49" i="3" s="1"/>
  <c r="E48" i="3"/>
  <c r="H48" i="3" s="1"/>
  <c r="E47" i="3"/>
  <c r="H47" i="3" s="1"/>
  <c r="E46" i="3"/>
  <c r="H46" i="3" s="1"/>
  <c r="E45" i="3"/>
  <c r="H45" i="3" s="1"/>
  <c r="E44" i="3"/>
  <c r="M26" i="4" l="1"/>
  <c r="M3" i="4"/>
  <c r="M4" i="4"/>
  <c r="M5" i="4"/>
  <c r="M6" i="4"/>
  <c r="M7" i="4"/>
  <c r="M8" i="4"/>
  <c r="M9" i="4"/>
  <c r="M10" i="4"/>
  <c r="M11" i="4"/>
  <c r="M12" i="4"/>
  <c r="M13" i="4"/>
  <c r="M14" i="4"/>
  <c r="M15" i="4"/>
  <c r="M16" i="4"/>
  <c r="M17" i="4"/>
  <c r="M18" i="4"/>
  <c r="M19" i="4"/>
  <c r="M20" i="4"/>
  <c r="M21" i="4"/>
  <c r="M22" i="4"/>
  <c r="M23" i="4"/>
  <c r="M24" i="4"/>
  <c r="M25" i="4"/>
  <c r="H70" i="3" l="1"/>
  <c r="H71" i="3"/>
  <c r="H73" i="3"/>
  <c r="H74" i="3"/>
  <c r="H75" i="3"/>
  <c r="H72" i="3"/>
  <c r="H50" i="3" l="1"/>
  <c r="H40" i="3"/>
  <c r="H35" i="3"/>
  <c r="H36" i="3"/>
  <c r="H37" i="3"/>
  <c r="B117" i="3" l="1"/>
  <c r="B116" i="3"/>
  <c r="B115" i="3"/>
  <c r="B112" i="3"/>
  <c r="B114" i="3"/>
  <c r="E113" i="3"/>
  <c r="H108" i="3"/>
  <c r="H107" i="3"/>
  <c r="H106" i="3"/>
  <c r="H105" i="3"/>
  <c r="H101" i="3"/>
  <c r="H100" i="3"/>
  <c r="H99" i="3"/>
  <c r="H98" i="3"/>
  <c r="H97" i="3"/>
  <c r="H95" i="3"/>
  <c r="H94" i="3"/>
  <c r="H93" i="3"/>
  <c r="H89" i="3"/>
  <c r="H88" i="3"/>
  <c r="H87" i="3"/>
  <c r="H86" i="3"/>
  <c r="H85" i="3"/>
  <c r="H84" i="3"/>
  <c r="H81" i="3"/>
  <c r="H66" i="3"/>
  <c r="H65" i="3"/>
  <c r="H63" i="3"/>
  <c r="H62" i="3"/>
  <c r="H79" i="3" l="1"/>
  <c r="E64" i="3"/>
  <c r="F64" i="3"/>
  <c r="G64" i="3"/>
  <c r="H64" i="3" l="1"/>
  <c r="B101" i="3"/>
  <c r="B100" i="3"/>
  <c r="G79" i="3" l="1"/>
  <c r="G61" i="3"/>
  <c r="F96" i="3" l="1"/>
  <c r="F102" i="3" s="1"/>
  <c r="G96" i="3"/>
  <c r="E96" i="3"/>
  <c r="E102" i="3" s="1"/>
  <c r="H96" i="3" l="1"/>
  <c r="G102" i="3"/>
  <c r="H102" i="3" s="1"/>
  <c r="H52" i="3"/>
  <c r="H51" i="3"/>
  <c r="H44" i="3"/>
  <c r="H42" i="3"/>
  <c r="H41" i="3"/>
  <c r="H39" i="3"/>
  <c r="H34" i="3"/>
  <c r="G43" i="3"/>
  <c r="F43" i="3"/>
  <c r="E43" i="3"/>
  <c r="D43" i="3"/>
  <c r="C43" i="3"/>
  <c r="G38" i="3"/>
  <c r="F38" i="3"/>
  <c r="E38" i="3"/>
  <c r="D38" i="3"/>
  <c r="C38" i="3"/>
  <c r="D33" i="3"/>
  <c r="E33" i="3"/>
  <c r="F33" i="3"/>
  <c r="G33" i="3"/>
  <c r="C33" i="3"/>
  <c r="H43" i="3" l="1"/>
  <c r="H38" i="3"/>
  <c r="H33" i="3"/>
  <c r="D53" i="3"/>
  <c r="C53" i="3"/>
  <c r="G53" i="3"/>
  <c r="F53" i="3"/>
  <c r="E53" i="3"/>
  <c r="F109" i="3"/>
  <c r="G109" i="3"/>
  <c r="H109" i="3" s="1"/>
  <c r="H53" i="3" l="1"/>
  <c r="F90" i="3" l="1"/>
  <c r="E109" i="3"/>
  <c r="G90" i="3" l="1"/>
  <c r="H90" i="3" s="1"/>
  <c r="E90" i="3"/>
  <c r="H110" i="3" l="1"/>
  <c r="E67" i="3"/>
  <c r="E110" i="3"/>
  <c r="E68" i="3"/>
  <c r="G67" i="3"/>
  <c r="F67" i="3"/>
  <c r="F68" i="3"/>
  <c r="G110" i="3"/>
  <c r="G68" i="3"/>
  <c r="H67" i="3" l="1"/>
  <c r="H68" i="3"/>
  <c r="F110" i="3"/>
</calcChain>
</file>

<file path=xl/sharedStrings.xml><?xml version="1.0" encoding="utf-8"?>
<sst xmlns="http://schemas.openxmlformats.org/spreadsheetml/2006/main" count="269" uniqueCount="244">
  <si>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</si>
  <si>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</si>
  <si>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</si>
  <si>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</si>
  <si>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</si>
  <si>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</si>
  <si>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</si>
  <si>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</si>
  <si>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</si>
  <si>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</si>
  <si>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</si>
  <si>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</si>
  <si>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</si>
  <si>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</si>
  <si>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</si>
  <si>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</si>
  <si>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</si>
  <si>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</si>
  <si>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</si>
  <si>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</si>
  <si>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</si>
  <si>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</si>
  <si>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</si>
  <si>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2023-25 Biennium</t>
  </si>
  <si>
    <t>WASHINGTON STATE MAJOR PROJECT STATUS REPORT</t>
  </si>
  <si>
    <t>June 2024</t>
  </si>
  <si>
    <t>Agency</t>
  </si>
  <si>
    <t>Bellingham Technical College</t>
  </si>
  <si>
    <t>Project Name</t>
  </si>
  <si>
    <t>Campus Center Emergency</t>
  </si>
  <si>
    <t>OFM Project Number(s)</t>
  </si>
  <si>
    <t>Contact Information</t>
  </si>
  <si>
    <t>Name</t>
  </si>
  <si>
    <t>Dave Jungkuntz</t>
  </si>
  <si>
    <t>Phone Number</t>
  </si>
  <si>
    <t>360-752-8355</t>
  </si>
  <si>
    <t>Email</t>
  </si>
  <si>
    <t>djungkuntz@btc.edu</t>
  </si>
  <si>
    <t>Project Information</t>
  </si>
  <si>
    <t>Project Description:</t>
  </si>
  <si>
    <t>A major structural failure on a 3-story truss was discovered in Fall 2022. Emergency repairs followed and additional structural investigations found more design and construction issues related to both gravity load and siesmic integrity. Building occupants were relocated to other areas on campus until construction is completed. The 70,000 square foot building houses campus Library &amp; e-Learning, Associated Student Body space, Campus Tutoring, Trio-support, Computer Networking program, Business Computing program, Culinary Program, &amp; Campus Store.  Major project was approved by Legislature in Spring 2024. Building has been unoccupied since Summer 2023.</t>
  </si>
  <si>
    <t>(Include a brief summary of the project and the programs it supports.)</t>
  </si>
  <si>
    <t>Project Status:</t>
  </si>
  <si>
    <t>Emergency repairs on the Gravity load system of trusses is 95% complete as of Spring 2024.  GCCM delivery was initiated with a selection process completed in April 2024 and is currently in the Pre-Construction Services stage with Design collaboration underway for bid packages. Critical path is the delivery of steel package and prepping construction zones within building to allow multiple simultaneous work areas within the building.  Potential conflicts for budget and schedule are material delivery, exterior work and open building envelope during inclement weather seasons, and restricted work area phasing in order to maintain structural integrity during project.</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</si>
  <si>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</si>
  <si>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</si>
  <si>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</si>
  <si>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</si>
  <si>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</si>
  <si>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</si>
  <si>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</si>
  <si>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</si>
  <si>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</si>
  <si>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</si>
  <si>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</si>
  <si>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</si>
  <si>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</si>
  <si>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</si>
  <si>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057  - State Bldg Const Acct</t>
  </si>
  <si>
    <t>XXX - Other State Funding</t>
  </si>
  <si>
    <t>Local Funds</t>
  </si>
  <si>
    <t>Other Funds &amp; Transfers - Insert Row Here</t>
  </si>
  <si>
    <t>Design</t>
  </si>
  <si>
    <t>Construction</t>
  </si>
  <si>
    <t>D25-R709</t>
  </si>
  <si>
    <t>D09-R551/R204</t>
  </si>
  <si>
    <t>D06-R609</t>
  </si>
  <si>
    <t>D12-R611</t>
  </si>
  <si>
    <t>D14-R615</t>
  </si>
  <si>
    <t>D17-R616</t>
  </si>
  <si>
    <t>060 - Other State Funding</t>
  </si>
  <si>
    <t>D24-R676</t>
  </si>
  <si>
    <t>147 - Local Funds</t>
  </si>
  <si>
    <t>R10-R601</t>
  </si>
  <si>
    <t>TOTALS</t>
  </si>
  <si>
    <t>Details</t>
  </si>
  <si>
    <t>Construction Type</t>
  </si>
  <si>
    <t>College classroom facilities</t>
  </si>
  <si>
    <t>Project Administered By</t>
  </si>
  <si>
    <t>DES</t>
  </si>
  <si>
    <t>% of Bldg Area that is being remodeled</t>
  </si>
  <si>
    <t>Art Requirement Applies</t>
  </si>
  <si>
    <t>Yes</t>
  </si>
  <si>
    <t>Procurement Method</t>
  </si>
  <si>
    <t>GCCM</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</si>
  <si>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</si>
  <si>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</si>
  <si>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</si>
  <si>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</si>
  <si>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</si>
  <si>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</si>
  <si>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</si>
  <si>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</si>
  <si>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</si>
  <si>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</si>
  <si>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</si>
  <si>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</si>
  <si>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</si>
  <si>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</si>
  <si>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</si>
  <si>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Start Design</t>
  </si>
  <si>
    <t>Bid Due Date</t>
  </si>
  <si>
    <t>Notice to Proceed</t>
  </si>
  <si>
    <t>Substantial Completion</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</si>
  <si>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</si>
  <si>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</si>
  <si>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</si>
  <si>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</si>
  <si>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</si>
  <si>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</si>
  <si>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</si>
  <si>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</si>
  <si>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23-077: A&amp;E</t>
  </si>
  <si>
    <t>Coffman</t>
  </si>
  <si>
    <t>AE Basic Service Fee - Construction Documents</t>
  </si>
  <si>
    <t>24-049: A&amp;E</t>
  </si>
  <si>
    <t>Coffman; KPFF; Zervas</t>
  </si>
  <si>
    <t>Extra Services - Pre-Bid</t>
  </si>
  <si>
    <t>3rd Party Testing</t>
  </si>
  <si>
    <t>RMA-GeoTest</t>
  </si>
  <si>
    <t>AE Basic Service Fee - Bid/Construction/Closeout</t>
  </si>
  <si>
    <t>Permits, Envelope Consultant</t>
  </si>
  <si>
    <t>Other Services - Post Bid</t>
  </si>
  <si>
    <t>Commissioning</t>
  </si>
  <si>
    <t>Design Services Contingency</t>
  </si>
  <si>
    <t>Consultant Services Total</t>
  </si>
  <si>
    <t xml:space="preserve">Construction </t>
  </si>
  <si>
    <t>Site Work</t>
  </si>
  <si>
    <t>Related Project Costs</t>
  </si>
  <si>
    <t>Facility Construction</t>
  </si>
  <si>
    <t>Dawson Inv 1-9</t>
  </si>
  <si>
    <t>Maximum Allowable Construction Cost (MACC) Subtotal</t>
  </si>
  <si>
    <t>Construction Contingencies</t>
  </si>
  <si>
    <t>Non-Taxable Items</t>
  </si>
  <si>
    <t>Sales Tax</t>
  </si>
  <si>
    <t>See above</t>
  </si>
  <si>
    <t>Preconstruction Services - Wait for bills</t>
  </si>
  <si>
    <t>Construction Contracts Total</t>
  </si>
  <si>
    <t>Other Project Costs</t>
  </si>
  <si>
    <t>Equipment</t>
  </si>
  <si>
    <t>Tutoring Portable</t>
  </si>
  <si>
    <t>Art Work</t>
  </si>
  <si>
    <t>Project Management</t>
  </si>
  <si>
    <r>
      <t xml:space="preserve">Other Costs </t>
    </r>
    <r>
      <rPr>
        <sz val="11"/>
        <color theme="1"/>
        <rFont val="Calibri"/>
        <family val="2"/>
        <scheme val="minor"/>
      </rPr>
      <t>(describe)</t>
    </r>
  </si>
  <si>
    <t>Other Project Costs Total</t>
  </si>
  <si>
    <t>Total Project Costs</t>
  </si>
  <si>
    <t>Additional comments:</t>
  </si>
  <si>
    <t>Photo Gallery</t>
  </si>
  <si>
    <t>Y/N</t>
  </si>
  <si>
    <t>PM Admin</t>
  </si>
  <si>
    <t>Date</t>
  </si>
  <si>
    <t>Type of Report</t>
  </si>
  <si>
    <t>Apartment</t>
  </si>
  <si>
    <t>2003-05</t>
  </si>
  <si>
    <t>Design-Bid-Build</t>
  </si>
  <si>
    <t>Select Date from Dropdown</t>
  </si>
  <si>
    <t>Archive building</t>
  </si>
  <si>
    <t>No</t>
  </si>
  <si>
    <t>2004</t>
  </si>
  <si>
    <t>WASHINGTON STATE MAJOR PROJECT FINAL CLOSE-OUT REPORT</t>
  </si>
  <si>
    <t>Armories</t>
  </si>
  <si>
    <t>Other (explain below)</t>
  </si>
  <si>
    <t>2005-07</t>
  </si>
  <si>
    <t>Design-Build</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</si>
  <si>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</si>
  <si>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</si>
  <si>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</si>
  <si>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</si>
  <si>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</si>
  <si>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</si>
  <si>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</si>
  <si>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</si>
  <si>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</si>
  <si>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</si>
  <si>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</si>
  <si>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</si>
  <si>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</si>
  <si>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</si>
  <si>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</si>
  <si>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</si>
  <si>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</si>
  <si>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</si>
  <si>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</si>
  <si>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</si>
  <si>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</si>
  <si>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</si>
  <si>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</si>
  <si>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</si>
  <si>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</si>
  <si>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</si>
  <si>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</si>
  <si>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</si>
  <si>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</si>
  <si>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</si>
  <si>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</si>
  <si>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</si>
  <si>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</si>
  <si>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</si>
  <si>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</si>
  <si>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</si>
  <si>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</si>
  <si>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</si>
  <si>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</si>
  <si>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</si>
  <si>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</si>
  <si>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</si>
  <si>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</si>
  <si>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</si>
  <si>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</si>
  <si>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</si>
  <si>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</si>
  <si>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</si>
  <si>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</si>
  <si>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</si>
  <si>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</si>
  <si>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</si>
  <si>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</si>
  <si>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</si>
  <si>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</si>
  <si>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</si>
  <si>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</si>
  <si>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</si>
  <si>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</si>
  <si>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</si>
  <si>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</si>
  <si>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</si>
  <si>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</si>
  <si>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</si>
  <si>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</si>
  <si>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</si>
  <si>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</si>
  <si>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</si>
  <si>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</si>
  <si>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</si>
  <si>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</si>
  <si>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</si>
  <si>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</si>
  <si>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</si>
  <si>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</si>
  <si>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</si>
  <si>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</si>
  <si>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</si>
  <si>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</si>
  <si>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WA Arts Commission June 2024: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</si>
</sst>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3">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jungkuntz@b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0</v>
      </c>
      <c r="C1" s="133"/>
      <c r="D1" s="133"/>
      <c r="E1" s="133"/>
      <c r="F1" s="133"/>
      <c r="G1" s="133"/>
      <c r="H1" s="133"/>
      <c r="I1" s="133"/>
      <c r="J1" s="133"/>
      <c r="K1" s="133"/>
      <c r="L1" s="55"/>
    </row>
    <row r="2" spans="1:12" ht="21.75" thickBot="1" x14ac:dyDescent="0.4">
      <c r="A2" s="91"/>
      <c r="B2" s="134" t="s">
        <v>1</v>
      </c>
      <c r="C2" s="134"/>
      <c r="D2" s="134"/>
      <c r="E2" s="134"/>
      <c r="F2" s="134"/>
      <c r="G2" s="134"/>
      <c r="H2" s="134"/>
      <c r="I2" s="134"/>
      <c r="J2" s="134"/>
      <c r="K2" s="134"/>
      <c r="L2" s="93"/>
    </row>
    <row r="3" spans="1:12" ht="15.75" thickTop="1" x14ac:dyDescent="0.25"/>
    <row r="4" spans="1:12" ht="15.75" x14ac:dyDescent="0.25">
      <c r="B4" s="123" t="s">
        <v>2</v>
      </c>
      <c r="C4" s="13"/>
      <c r="D4" s="13"/>
      <c r="E4" s="13"/>
      <c r="F4" s="13"/>
      <c r="G4" s="13"/>
      <c r="H4" s="13"/>
      <c r="I4" s="13"/>
      <c r="J4" s="13"/>
      <c r="K4" s="14"/>
    </row>
    <row r="5" spans="1:12" ht="15.75" customHeight="1" x14ac:dyDescent="0.25">
      <c r="B5" s="135" t="s">
        <v>3</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4</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5</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6</v>
      </c>
      <c r="C23" s="13"/>
      <c r="D23" s="13"/>
      <c r="E23" s="13"/>
      <c r="F23" s="13"/>
      <c r="G23" s="13"/>
      <c r="H23" s="13"/>
      <c r="I23" s="13"/>
      <c r="J23" s="13"/>
      <c r="K23" s="14"/>
    </row>
    <row r="24" spans="2:11" x14ac:dyDescent="0.25">
      <c r="B24" s="135" t="s">
        <v>7</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8</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9</v>
      </c>
      <c r="C32" s="13"/>
      <c r="D32" s="13"/>
      <c r="E32" s="13"/>
      <c r="F32" s="13"/>
      <c r="G32" s="13"/>
      <c r="H32" s="13"/>
      <c r="I32" s="13"/>
      <c r="J32" s="13"/>
      <c r="K32" s="14"/>
    </row>
    <row r="33" spans="2:11" x14ac:dyDescent="0.25">
      <c r="B33" s="15" t="s">
        <v>10</v>
      </c>
      <c r="C33" t="s">
        <v>11</v>
      </c>
      <c r="K33" s="16"/>
    </row>
    <row r="34" spans="2:11" ht="15" customHeight="1" x14ac:dyDescent="0.25">
      <c r="B34" s="15" t="s">
        <v>12</v>
      </c>
      <c r="C34" s="131" t="s">
        <v>13</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14</v>
      </c>
      <c r="C37" s="131" t="s">
        <v>15</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16</v>
      </c>
      <c r="C40" s="131" t="s">
        <v>17</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18</v>
      </c>
      <c r="C43" s="131" t="s">
        <v>19</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v>
      </c>
      <c r="C45" s="131" t="s">
        <v>21</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1"/>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8.7109375" customWidth="1"/>
    <col min="9" max="9" width="14.5703125" customWidth="1"/>
    <col min="10" max="10" width="1.5703125" customWidth="1"/>
  </cols>
  <sheetData>
    <row r="1" spans="1:13" ht="21.75" thickTop="1" x14ac:dyDescent="0.35">
      <c r="A1" s="54"/>
      <c r="B1" s="187" t="s">
        <v>22</v>
      </c>
      <c r="C1" s="187"/>
      <c r="D1" s="187"/>
      <c r="E1" s="187"/>
      <c r="F1" s="187"/>
      <c r="G1" s="187"/>
      <c r="H1" s="187"/>
      <c r="I1" s="187"/>
      <c r="J1" s="55"/>
    </row>
    <row r="2" spans="1:13" x14ac:dyDescent="0.25">
      <c r="A2" s="56"/>
      <c r="B2" s="129"/>
      <c r="C2" s="129"/>
      <c r="D2" s="129"/>
      <c r="E2" s="129" t="s">
        <v>23</v>
      </c>
      <c r="F2" s="129"/>
      <c r="G2" s="129"/>
      <c r="H2" s="129"/>
      <c r="I2" s="129"/>
      <c r="J2" s="57"/>
    </row>
    <row r="3" spans="1:13" ht="21" x14ac:dyDescent="0.35">
      <c r="A3" s="56"/>
      <c r="B3" s="188" t="s">
        <v>24</v>
      </c>
      <c r="C3" s="188"/>
      <c r="D3" s="188"/>
      <c r="E3" s="188"/>
      <c r="F3" s="188"/>
      <c r="G3" s="188"/>
      <c r="H3" s="188"/>
      <c r="I3" s="188"/>
      <c r="J3" s="57"/>
    </row>
    <row r="4" spans="1:13" ht="21" customHeight="1" x14ac:dyDescent="0.35">
      <c r="A4" s="58"/>
      <c r="B4" s="193" t="s">
        <v>25</v>
      </c>
      <c r="C4" s="193"/>
      <c r="D4" s="193"/>
      <c r="E4" s="193"/>
      <c r="F4" s="193"/>
      <c r="G4" s="193"/>
      <c r="H4" s="193"/>
      <c r="I4" s="193"/>
      <c r="J4" s="59"/>
    </row>
    <row r="5" spans="1:13" s="1" customFormat="1" x14ac:dyDescent="0.25">
      <c r="A5" s="60"/>
      <c r="B5" t="s">
        <v>26</v>
      </c>
      <c r="C5" s="172" t="s">
        <v>27</v>
      </c>
      <c r="D5" s="172"/>
      <c r="E5" s="172"/>
      <c r="F5" s="172"/>
      <c r="G5" s="172"/>
      <c r="H5" s="172"/>
      <c r="J5" s="61"/>
    </row>
    <row r="6" spans="1:13" s="1" customFormat="1" x14ac:dyDescent="0.25">
      <c r="A6" s="60"/>
      <c r="B6" t="s">
        <v>28</v>
      </c>
      <c r="C6" s="190" t="s">
        <v>29</v>
      </c>
      <c r="D6" s="191"/>
      <c r="E6" s="191"/>
      <c r="F6" s="191"/>
      <c r="G6" s="191"/>
      <c r="H6" s="192"/>
      <c r="J6" s="61"/>
    </row>
    <row r="7" spans="1:13" s="1" customFormat="1" ht="15.75" thickBot="1" x14ac:dyDescent="0.3">
      <c r="A7" s="62"/>
      <c r="B7" s="63" t="s">
        <v>30</v>
      </c>
      <c r="C7" s="189">
        <v>40000916</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31</v>
      </c>
      <c r="C9" s="152"/>
      <c r="D9" s="152"/>
      <c r="E9" s="152"/>
      <c r="F9" s="152"/>
      <c r="G9" s="152"/>
      <c r="H9" s="152"/>
      <c r="I9" s="153"/>
      <c r="J9" s="61"/>
    </row>
    <row r="10" spans="1:13" s="1" customFormat="1" x14ac:dyDescent="0.25">
      <c r="A10" s="60"/>
      <c r="B10" s="15" t="s">
        <v>32</v>
      </c>
      <c r="C10" s="172" t="s">
        <v>33</v>
      </c>
      <c r="D10" s="172"/>
      <c r="E10" s="172"/>
      <c r="F10" s="172"/>
      <c r="G10" s="172"/>
      <c r="H10" s="172"/>
      <c r="I10" s="66"/>
      <c r="J10" s="61"/>
    </row>
    <row r="11" spans="1:13" s="1" customFormat="1" x14ac:dyDescent="0.25">
      <c r="A11" s="60"/>
      <c r="B11" s="15" t="s">
        <v>34</v>
      </c>
      <c r="C11" s="173" t="s">
        <v>35</v>
      </c>
      <c r="D11" s="173"/>
      <c r="E11" s="173"/>
      <c r="F11" s="173"/>
      <c r="G11" s="173"/>
      <c r="H11" s="173"/>
      <c r="I11" s="66"/>
      <c r="J11" s="61"/>
    </row>
    <row r="12" spans="1:13" s="1" customFormat="1" x14ac:dyDescent="0.25">
      <c r="A12" s="60"/>
      <c r="B12" s="18" t="s">
        <v>36</v>
      </c>
      <c r="C12" s="174" t="s">
        <v>37</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38</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39</v>
      </c>
      <c r="C16" s="177" t="s">
        <v>40</v>
      </c>
      <c r="D16" s="178"/>
      <c r="E16" s="178"/>
      <c r="F16" s="178"/>
      <c r="G16" s="178"/>
      <c r="H16" s="178"/>
      <c r="I16" s="179"/>
      <c r="J16" s="57"/>
      <c r="M16" s="1"/>
    </row>
    <row r="17" spans="1:13" ht="15" customHeight="1" x14ac:dyDescent="0.25">
      <c r="A17" s="56"/>
      <c r="B17" s="186" t="s">
        <v>41</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42</v>
      </c>
      <c r="C21" s="177" t="s">
        <v>43</v>
      </c>
      <c r="D21" s="178"/>
      <c r="E21" s="178"/>
      <c r="F21" s="178"/>
      <c r="G21" s="178"/>
      <c r="H21" s="178"/>
      <c r="I21" s="179"/>
      <c r="J21" s="57"/>
      <c r="M21" s="1"/>
    </row>
    <row r="22" spans="1:13" ht="15" customHeight="1" x14ac:dyDescent="0.25">
      <c r="A22" s="56"/>
      <c r="B22" s="175" t="s">
        <v>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45</v>
      </c>
      <c r="C29" s="152"/>
      <c r="D29" s="152"/>
      <c r="E29" s="152"/>
      <c r="F29" s="152"/>
      <c r="G29" s="152"/>
      <c r="H29" s="152"/>
      <c r="I29" s="153"/>
      <c r="J29" s="61"/>
    </row>
    <row r="30" spans="1:13" ht="15" customHeight="1" thickBot="1" x14ac:dyDescent="0.3">
      <c r="A30" s="56"/>
      <c r="B30" s="73"/>
      <c r="C30" s="157" t="s">
        <v>46</v>
      </c>
      <c r="D30" s="158"/>
      <c r="E30" s="158"/>
      <c r="F30" s="158"/>
      <c r="G30" s="158"/>
      <c r="H30" s="159"/>
      <c r="I30" s="160"/>
      <c r="J30" s="57"/>
      <c r="M30" s="1"/>
    </row>
    <row r="31" spans="1:13" ht="15" customHeight="1" x14ac:dyDescent="0.25">
      <c r="A31" s="56"/>
      <c r="B31" s="73"/>
      <c r="C31" s="157" t="s">
        <v>47</v>
      </c>
      <c r="D31" s="160"/>
      <c r="E31" s="157" t="s">
        <v>48</v>
      </c>
      <c r="F31" s="158"/>
      <c r="G31" s="158"/>
      <c r="H31" s="161" t="s">
        <v>49</v>
      </c>
      <c r="I31" s="163" t="s">
        <v>50</v>
      </c>
      <c r="J31" s="57"/>
      <c r="M31" s="1"/>
    </row>
    <row r="32" spans="1:13" s="1" customFormat="1" ht="30" x14ac:dyDescent="0.25">
      <c r="A32" s="60"/>
      <c r="B32" s="10" t="s">
        <v>51</v>
      </c>
      <c r="C32" s="74" t="s">
        <v>52</v>
      </c>
      <c r="D32" s="4" t="s">
        <v>53</v>
      </c>
      <c r="E32" s="4" t="s">
        <v>54</v>
      </c>
      <c r="F32" s="4" t="s">
        <v>55</v>
      </c>
      <c r="G32" s="5" t="s">
        <v>56</v>
      </c>
      <c r="H32" s="162"/>
      <c r="I32" s="164"/>
      <c r="J32" s="61"/>
    </row>
    <row r="33" spans="1:13" x14ac:dyDescent="0.25">
      <c r="A33" s="56"/>
      <c r="B33" s="6" t="s">
        <v>57</v>
      </c>
      <c r="C33" s="48">
        <f>SUM(C34:C37)</f>
        <v>0</v>
      </c>
      <c r="D33" s="48">
        <f>SUM(D34:D37)</f>
        <v>0</v>
      </c>
      <c r="E33" s="48">
        <f>SUM(E34:E37)</f>
        <v>0</v>
      </c>
      <c r="F33" s="48">
        <f>SUM(F34:F37)</f>
        <v>0</v>
      </c>
      <c r="G33" s="49">
        <f>SUM(G34:G37)</f>
        <v>0</v>
      </c>
      <c r="H33" s="50">
        <f>SUM(C33:G33)</f>
        <v>0</v>
      </c>
      <c r="I33" s="7"/>
      <c r="J33" s="57"/>
      <c r="M33" s="1"/>
    </row>
    <row r="34" spans="1:13" x14ac:dyDescent="0.25">
      <c r="A34" s="56"/>
      <c r="B34" s="8" t="s">
        <v>58</v>
      </c>
      <c r="C34" s="75"/>
      <c r="D34" s="76"/>
      <c r="E34" s="76"/>
      <c r="F34" s="76"/>
      <c r="G34" s="77"/>
      <c r="H34" s="9">
        <f>SUM(C34:G34)</f>
        <v>0</v>
      </c>
      <c r="I34" s="78"/>
      <c r="J34" s="57"/>
      <c r="M34" s="1"/>
    </row>
    <row r="35" spans="1:13" x14ac:dyDescent="0.25">
      <c r="A35" s="56"/>
      <c r="B35" s="125" t="s">
        <v>59</v>
      </c>
      <c r="C35" s="75"/>
      <c r="D35" s="76"/>
      <c r="E35" s="76"/>
      <c r="F35" s="76"/>
      <c r="G35" s="77"/>
      <c r="H35" s="9">
        <f t="shared" ref="H35:H37" si="0">SUM(C35:G35)</f>
        <v>0</v>
      </c>
      <c r="I35" s="78"/>
      <c r="J35" s="57"/>
      <c r="M35" s="1"/>
    </row>
    <row r="36" spans="1:13" x14ac:dyDescent="0.25">
      <c r="A36" s="56"/>
      <c r="B36" s="125" t="s">
        <v>60</v>
      </c>
      <c r="C36" s="75"/>
      <c r="D36" s="76"/>
      <c r="E36" s="76"/>
      <c r="F36" s="76"/>
      <c r="G36" s="77"/>
      <c r="H36" s="9">
        <f t="shared" si="0"/>
        <v>0</v>
      </c>
      <c r="I36" s="78"/>
      <c r="J36" s="57"/>
      <c r="M36" s="1"/>
    </row>
    <row r="37" spans="1:13" x14ac:dyDescent="0.25">
      <c r="A37" s="56"/>
      <c r="B37" s="124" t="s">
        <v>61</v>
      </c>
      <c r="C37" s="75"/>
      <c r="D37" s="76"/>
      <c r="E37" s="76"/>
      <c r="F37" s="76"/>
      <c r="G37" s="77"/>
      <c r="H37" s="9">
        <f t="shared" si="0"/>
        <v>0</v>
      </c>
      <c r="I37" s="78"/>
      <c r="J37" s="57"/>
      <c r="M37" s="1"/>
    </row>
    <row r="38" spans="1:13" x14ac:dyDescent="0.25">
      <c r="A38" s="56"/>
      <c r="B38" s="6" t="s">
        <v>62</v>
      </c>
      <c r="C38" s="48">
        <f>SUM(C39:C42)</f>
        <v>0</v>
      </c>
      <c r="D38" s="48">
        <f>SUM(D39:D42)</f>
        <v>0</v>
      </c>
      <c r="E38" s="48">
        <f>SUM(E39:E42)</f>
        <v>0</v>
      </c>
      <c r="F38" s="48">
        <f>SUM(F39:F42)</f>
        <v>0</v>
      </c>
      <c r="G38" s="49">
        <f>SUM(G39:G42)</f>
        <v>0</v>
      </c>
      <c r="H38" s="50">
        <f>SUM(C38:G38)</f>
        <v>0</v>
      </c>
      <c r="I38" s="7"/>
      <c r="J38" s="57"/>
      <c r="M38" s="1"/>
    </row>
    <row r="39" spans="1:13" x14ac:dyDescent="0.25">
      <c r="A39" s="56"/>
      <c r="B39" s="8" t="s">
        <v>58</v>
      </c>
      <c r="C39" s="75"/>
      <c r="D39" s="76"/>
      <c r="E39" s="76"/>
      <c r="F39" s="76"/>
      <c r="G39" s="77"/>
      <c r="H39" s="9">
        <f>SUM(C39:G39)</f>
        <v>0</v>
      </c>
      <c r="I39" s="78"/>
      <c r="J39" s="57"/>
      <c r="M39" s="1"/>
    </row>
    <row r="40" spans="1:13" x14ac:dyDescent="0.25">
      <c r="A40" s="56"/>
      <c r="B40" s="125" t="s">
        <v>59</v>
      </c>
      <c r="C40" s="75"/>
      <c r="D40" s="76"/>
      <c r="E40" s="76"/>
      <c r="F40" s="76"/>
      <c r="G40" s="77"/>
      <c r="H40" s="9">
        <f>SUM(C40:G40)</f>
        <v>0</v>
      </c>
      <c r="I40" s="78"/>
      <c r="J40" s="57"/>
      <c r="M40" s="1"/>
    </row>
    <row r="41" spans="1:13" x14ac:dyDescent="0.25">
      <c r="A41" s="56"/>
      <c r="B41" s="125" t="s">
        <v>60</v>
      </c>
      <c r="C41" s="75"/>
      <c r="D41" s="76"/>
      <c r="E41" s="76"/>
      <c r="F41" s="76"/>
      <c r="G41" s="77"/>
      <c r="H41" s="9">
        <f t="shared" ref="H41:H42" si="1">SUM(C41:G41)</f>
        <v>0</v>
      </c>
      <c r="I41" s="78"/>
      <c r="J41" s="57"/>
      <c r="M41" s="1"/>
    </row>
    <row r="42" spans="1:13" x14ac:dyDescent="0.25">
      <c r="A42" s="56"/>
      <c r="B42" s="124" t="s">
        <v>61</v>
      </c>
      <c r="C42" s="75"/>
      <c r="D42" s="76"/>
      <c r="E42" s="76"/>
      <c r="F42" s="76"/>
      <c r="G42" s="77"/>
      <c r="H42" s="9">
        <f t="shared" si="1"/>
        <v>0</v>
      </c>
      <c r="I42" s="78"/>
      <c r="J42" s="57"/>
      <c r="M42" s="1"/>
    </row>
    <row r="43" spans="1:13" x14ac:dyDescent="0.25">
      <c r="A43" s="56"/>
      <c r="B43" s="6" t="s">
        <v>63</v>
      </c>
      <c r="C43" s="48">
        <f>SUM(C44:C52)</f>
        <v>0</v>
      </c>
      <c r="D43" s="48">
        <f>SUM(D44:D52)</f>
        <v>2070215.7099999997</v>
      </c>
      <c r="E43" s="48">
        <f>SUM(E44:E52)</f>
        <v>20707784.289999999</v>
      </c>
      <c r="F43" s="48">
        <f>SUM(F44:F52)</f>
        <v>0</v>
      </c>
      <c r="G43" s="49">
        <f>SUM(G44:G52)</f>
        <v>0</v>
      </c>
      <c r="H43" s="50">
        <f>SUM(C43:G43)</f>
        <v>22778000</v>
      </c>
      <c r="I43" s="7"/>
      <c r="J43" s="57"/>
      <c r="M43" s="1"/>
    </row>
    <row r="44" spans="1:13" x14ac:dyDescent="0.25">
      <c r="A44" s="56"/>
      <c r="B44" s="8" t="s">
        <v>58</v>
      </c>
      <c r="C44" s="75"/>
      <c r="D44" s="76">
        <v>69260.33</v>
      </c>
      <c r="E44" s="76">
        <f>14384000-D44-C44</f>
        <v>14314739.67</v>
      </c>
      <c r="F44" s="76"/>
      <c r="G44" s="77"/>
      <c r="H44" s="9">
        <f>SUM(C44:G44)</f>
        <v>14384000</v>
      </c>
      <c r="I44" s="78" t="s">
        <v>64</v>
      </c>
      <c r="J44" s="57"/>
      <c r="M44" s="1"/>
    </row>
    <row r="45" spans="1:13" x14ac:dyDescent="0.25">
      <c r="A45" s="56"/>
      <c r="B45" s="8" t="s">
        <v>58</v>
      </c>
      <c r="C45" s="75"/>
      <c r="D45" s="76">
        <f>428571.49+252199.14</f>
        <v>680770.63</v>
      </c>
      <c r="E45" s="76">
        <f>500000-D45</f>
        <v>-180770.63</v>
      </c>
      <c r="F45" s="76"/>
      <c r="G45" s="77"/>
      <c r="H45" s="9">
        <f t="shared" ref="H45:H49" si="2">SUM(C45:G45)</f>
        <v>500000</v>
      </c>
      <c r="I45" s="78" t="s">
        <v>65</v>
      </c>
      <c r="J45" s="57"/>
      <c r="M45" s="1"/>
    </row>
    <row r="46" spans="1:13" x14ac:dyDescent="0.25">
      <c r="A46" s="56"/>
      <c r="B46" s="8" t="s">
        <v>58</v>
      </c>
      <c r="C46" s="75"/>
      <c r="D46" s="76">
        <v>229000</v>
      </c>
      <c r="E46" s="76">
        <f>229000-D46</f>
        <v>0</v>
      </c>
      <c r="F46" s="76"/>
      <c r="G46" s="77"/>
      <c r="H46" s="9">
        <f t="shared" si="2"/>
        <v>229000</v>
      </c>
      <c r="I46" s="78" t="s">
        <v>66</v>
      </c>
      <c r="J46" s="57"/>
      <c r="M46" s="1"/>
    </row>
    <row r="47" spans="1:13" x14ac:dyDescent="0.25">
      <c r="A47" s="56"/>
      <c r="B47" s="8" t="s">
        <v>58</v>
      </c>
      <c r="C47" s="75"/>
      <c r="D47" s="76">
        <v>70000</v>
      </c>
      <c r="E47" s="76">
        <f>70000-D47</f>
        <v>0</v>
      </c>
      <c r="F47" s="76"/>
      <c r="G47" s="77"/>
      <c r="H47" s="9">
        <f t="shared" si="2"/>
        <v>70000</v>
      </c>
      <c r="I47" s="78" t="s">
        <v>67</v>
      </c>
      <c r="J47" s="57"/>
      <c r="M47" s="1"/>
    </row>
    <row r="48" spans="1:13" x14ac:dyDescent="0.25">
      <c r="A48" s="56"/>
      <c r="B48" s="8" t="s">
        <v>58</v>
      </c>
      <c r="C48" s="75"/>
      <c r="D48" s="76">
        <v>918070.86</v>
      </c>
      <c r="E48" s="76">
        <f>1231000-D48</f>
        <v>312929.14</v>
      </c>
      <c r="F48" s="76"/>
      <c r="G48" s="77"/>
      <c r="H48" s="9">
        <f t="shared" si="2"/>
        <v>1231000</v>
      </c>
      <c r="I48" s="78" t="s">
        <v>68</v>
      </c>
      <c r="J48" s="57"/>
      <c r="M48" s="1"/>
    </row>
    <row r="49" spans="1:13" x14ac:dyDescent="0.25">
      <c r="A49" s="56"/>
      <c r="B49" s="8" t="s">
        <v>58</v>
      </c>
      <c r="C49" s="75"/>
      <c r="D49" s="76">
        <v>102022</v>
      </c>
      <c r="E49" s="76">
        <f>1164000-D49</f>
        <v>1061978</v>
      </c>
      <c r="F49" s="76"/>
      <c r="G49" s="77"/>
      <c r="H49" s="9">
        <f t="shared" si="2"/>
        <v>1164000</v>
      </c>
      <c r="I49" s="78" t="s">
        <v>69</v>
      </c>
      <c r="J49" s="57"/>
      <c r="M49" s="1"/>
    </row>
    <row r="50" spans="1:13" x14ac:dyDescent="0.25">
      <c r="A50" s="56"/>
      <c r="B50" s="125" t="s">
        <v>70</v>
      </c>
      <c r="C50" s="75"/>
      <c r="D50" s="76">
        <v>0</v>
      </c>
      <c r="E50" s="76">
        <f>5000000-D50</f>
        <v>5000000</v>
      </c>
      <c r="F50" s="76"/>
      <c r="G50" s="77"/>
      <c r="H50" s="9">
        <f>SUM(C50:G50)</f>
        <v>5000000</v>
      </c>
      <c r="I50" s="78" t="s">
        <v>71</v>
      </c>
      <c r="J50" s="57"/>
      <c r="M50" s="1"/>
    </row>
    <row r="51" spans="1:13" x14ac:dyDescent="0.25">
      <c r="A51" s="56"/>
      <c r="B51" s="125" t="s">
        <v>72</v>
      </c>
      <c r="C51" s="75"/>
      <c r="D51" s="76">
        <v>1091.8900000000001</v>
      </c>
      <c r="E51" s="76">
        <f>200000-D51</f>
        <v>198908.11</v>
      </c>
      <c r="F51" s="76"/>
      <c r="G51" s="77"/>
      <c r="H51" s="9">
        <f t="shared" ref="H51:H52" si="3">SUM(C51:G51)</f>
        <v>200000</v>
      </c>
      <c r="I51" s="78" t="s">
        <v>73</v>
      </c>
      <c r="J51" s="57"/>
      <c r="M51" s="1"/>
    </row>
    <row r="52" spans="1:13" x14ac:dyDescent="0.25">
      <c r="A52" s="56"/>
      <c r="B52" s="124" t="s">
        <v>61</v>
      </c>
      <c r="C52" s="75"/>
      <c r="D52" s="76"/>
      <c r="E52" s="76"/>
      <c r="F52" s="76"/>
      <c r="G52" s="77"/>
      <c r="H52" s="9">
        <f t="shared" si="3"/>
        <v>0</v>
      </c>
      <c r="I52" s="78"/>
      <c r="J52" s="57"/>
      <c r="M52" s="1"/>
    </row>
    <row r="53" spans="1:13" s="1" customFormat="1" ht="15.75" thickBot="1" x14ac:dyDescent="0.3">
      <c r="A53" s="60"/>
      <c r="B53" s="10" t="s">
        <v>74</v>
      </c>
      <c r="C53" s="51">
        <f>C33+C38+C43</f>
        <v>0</v>
      </c>
      <c r="D53" s="51">
        <f>D33+D38+D43</f>
        <v>2070215.7099999997</v>
      </c>
      <c r="E53" s="51">
        <f>E33+E38+E43</f>
        <v>20707784.289999999</v>
      </c>
      <c r="F53" s="51">
        <f>F33+F38+F43</f>
        <v>0</v>
      </c>
      <c r="G53" s="52">
        <f>G33+G38+G43</f>
        <v>0</v>
      </c>
      <c r="H53" s="53">
        <f>SUM(C53:G53)</f>
        <v>22778000</v>
      </c>
      <c r="I53" s="7"/>
      <c r="J53" s="61"/>
    </row>
    <row r="54" spans="1:13" s="1" customFormat="1" ht="9.9499999999999993" customHeight="1" x14ac:dyDescent="0.25">
      <c r="A54" s="60"/>
      <c r="C54" s="79"/>
      <c r="D54" s="79"/>
      <c r="J54" s="61"/>
    </row>
    <row r="55" spans="1:13" s="1" customFormat="1" x14ac:dyDescent="0.25">
      <c r="A55" s="60"/>
      <c r="B55" s="148" t="s">
        <v>75</v>
      </c>
      <c r="C55" s="149"/>
      <c r="D55" s="149"/>
      <c r="E55" s="149"/>
      <c r="F55" s="149"/>
      <c r="G55" s="149"/>
      <c r="H55" s="149"/>
      <c r="I55" s="150"/>
      <c r="J55" s="61"/>
    </row>
    <row r="56" spans="1:13" x14ac:dyDescent="0.25">
      <c r="A56" s="56"/>
      <c r="B56" s="80" t="s">
        <v>76</v>
      </c>
      <c r="C56" s="169" t="s">
        <v>77</v>
      </c>
      <c r="D56" s="169"/>
      <c r="E56" s="168" t="s">
        <v>78</v>
      </c>
      <c r="F56" s="168"/>
      <c r="G56" s="142" t="s">
        <v>79</v>
      </c>
      <c r="H56" s="142"/>
      <c r="I56" s="16"/>
      <c r="J56" s="57"/>
      <c r="M56" s="1"/>
    </row>
    <row r="57" spans="1:13" x14ac:dyDescent="0.25">
      <c r="A57" s="56"/>
      <c r="B57" s="15" t="s">
        <v>80</v>
      </c>
      <c r="C57" s="170">
        <v>1</v>
      </c>
      <c r="D57" s="171"/>
      <c r="E57" t="s">
        <v>81</v>
      </c>
      <c r="G57" s="143" t="s">
        <v>82</v>
      </c>
      <c r="H57" s="143"/>
      <c r="I57" s="16"/>
      <c r="J57" s="57"/>
      <c r="M57" s="1"/>
    </row>
    <row r="58" spans="1:13" x14ac:dyDescent="0.25">
      <c r="A58" s="56"/>
      <c r="B58" s="18" t="s">
        <v>83</v>
      </c>
      <c r="C58" s="143" t="s">
        <v>84</v>
      </c>
      <c r="D58" s="143"/>
      <c r="E58" s="19" t="s">
        <v>85</v>
      </c>
      <c r="F58" s="19"/>
      <c r="G58" s="143" t="s">
        <v>82</v>
      </c>
      <c r="H58" s="143"/>
      <c r="I58" s="20"/>
      <c r="J58" s="57"/>
      <c r="M58" s="1"/>
    </row>
    <row r="59" spans="1:13" ht="9.9499999999999993" customHeight="1" x14ac:dyDescent="0.25">
      <c r="A59" s="56"/>
      <c r="J59" s="57"/>
      <c r="M59" s="1"/>
    </row>
    <row r="60" spans="1:13" x14ac:dyDescent="0.25">
      <c r="A60" s="56"/>
      <c r="B60" s="148" t="s">
        <v>86</v>
      </c>
      <c r="C60" s="149"/>
      <c r="D60" s="149"/>
      <c r="E60" s="149"/>
      <c r="F60" s="149"/>
      <c r="G60" s="149"/>
      <c r="H60" s="149"/>
      <c r="I60" s="150"/>
      <c r="J60" s="57"/>
      <c r="M60" s="1"/>
    </row>
    <row r="61" spans="1:13" ht="75" customHeight="1" x14ac:dyDescent="0.25">
      <c r="A61" s="56"/>
      <c r="B61" s="144" t="s">
        <v>87</v>
      </c>
      <c r="C61" s="144"/>
      <c r="D61" s="144"/>
      <c r="E61" s="74" t="s">
        <v>88</v>
      </c>
      <c r="F61" s="74" t="s">
        <v>89</v>
      </c>
      <c r="G61" s="74" t="str">
        <f>IF(FCOR=TRUE, "Actuals at Final Completion", "Actuals to Date")</f>
        <v>Actuals to Date</v>
      </c>
      <c r="H61" s="113" t="s">
        <v>90</v>
      </c>
      <c r="I61" s="11" t="s">
        <v>50</v>
      </c>
      <c r="J61" s="57"/>
      <c r="M61" s="1"/>
    </row>
    <row r="62" spans="1:13" x14ac:dyDescent="0.25">
      <c r="A62" s="56"/>
      <c r="B62" s="12" t="s">
        <v>91</v>
      </c>
      <c r="C62" s="13"/>
      <c r="D62" s="14"/>
      <c r="E62" s="81"/>
      <c r="F62" s="81">
        <v>68093</v>
      </c>
      <c r="G62" s="82"/>
      <c r="H62" s="114">
        <f>IF($H$61=Lists!$D$8, IFERROR(F62-E62, ""), IF($H$61=Lists!$D$9, IFERROR(G62-E62, ""), IFERROR(G62-F62, "")))</f>
        <v>-68093</v>
      </c>
      <c r="I62" s="83"/>
      <c r="J62" s="57"/>
      <c r="M62" s="1"/>
    </row>
    <row r="63" spans="1:13" x14ac:dyDescent="0.25">
      <c r="A63" s="56"/>
      <c r="B63" s="15" t="s">
        <v>92</v>
      </c>
      <c r="D63" s="16"/>
      <c r="E63" s="81"/>
      <c r="F63" s="81">
        <v>63258</v>
      </c>
      <c r="G63" s="82"/>
      <c r="H63" s="114">
        <f>IF($H$61=Lists!$D$8, IFERROR(F63-E63, ""), IF($H$61=Lists!$D$9, IFERROR(G63-E63, ""), IFERROR(G63-F63, "")))</f>
        <v>-63258</v>
      </c>
      <c r="I63" s="83"/>
      <c r="J63" s="57"/>
      <c r="M63" s="1"/>
    </row>
    <row r="64" spans="1:13" x14ac:dyDescent="0.25">
      <c r="A64" s="56"/>
      <c r="B64" s="15" t="s">
        <v>93</v>
      </c>
      <c r="D64" s="16"/>
      <c r="E64" s="17" t="str">
        <f>IFERROR(E63/E62, "")</f>
        <v/>
      </c>
      <c r="F64" s="17">
        <f t="shared" ref="F64:G64" si="4">IFERROR(F63/F62, "")</f>
        <v>0.92899416973844595</v>
      </c>
      <c r="G64" s="17" t="str">
        <f t="shared" si="4"/>
        <v/>
      </c>
      <c r="H64" s="115" t="str">
        <f t="shared" ref="H64" si="5">IFERROR(G64-F64, "")</f>
        <v/>
      </c>
      <c r="I64" s="84"/>
      <c r="J64" s="57"/>
      <c r="M64" s="1"/>
    </row>
    <row r="65" spans="1:13" x14ac:dyDescent="0.25">
      <c r="A65" s="56"/>
      <c r="B65" s="15" t="s">
        <v>94</v>
      </c>
      <c r="D65" s="16"/>
      <c r="E65" s="81"/>
      <c r="F65" s="81"/>
      <c r="G65" s="82"/>
      <c r="H65" s="116">
        <f>IF($H$61=Lists!$D$8, IFERROR(F65-E65, ""), IF($H$61=Lists!$D$9, IFERROR(G65-E65, ""), IFERROR(G65-F65, "")))</f>
        <v>0</v>
      </c>
      <c r="I65" s="83"/>
      <c r="J65" s="57"/>
      <c r="M65" s="1"/>
    </row>
    <row r="66" spans="1:13" x14ac:dyDescent="0.25">
      <c r="A66" s="56"/>
      <c r="B66" s="18" t="s">
        <v>95</v>
      </c>
      <c r="C66" s="19"/>
      <c r="D66" s="20"/>
      <c r="E66" s="82"/>
      <c r="F66" s="82"/>
      <c r="G66" s="82"/>
      <c r="H66" s="116">
        <f>IF($H$61=Lists!$D$8, IFERROR(F66-E66, ""), IF($H$61=Lists!$D$9, IFERROR(G66-E66, ""), IFERROR(G66-F66, "")))</f>
        <v>0</v>
      </c>
      <c r="I66" s="85"/>
      <c r="J66" s="57"/>
      <c r="M66" s="1"/>
    </row>
    <row r="67" spans="1:13" x14ac:dyDescent="0.25">
      <c r="A67" s="56"/>
      <c r="B67" s="15" t="s">
        <v>96</v>
      </c>
      <c r="E67" s="21" t="str">
        <f>IFERROR(E96/E62, "")</f>
        <v/>
      </c>
      <c r="F67" s="21">
        <f>IFERROR(F96/F62, "")</f>
        <v>175.42722453115593</v>
      </c>
      <c r="G67" s="21" t="str">
        <f>IFERROR(G96/G62, "")</f>
        <v/>
      </c>
      <c r="H67" s="117" t="str">
        <f>IF($H$61=Lists!$D$8, IFERROR(F67-E67, ""), IF($H$61=Lists!$D$9, IFERROR(G67-E67, ""), IFERROR(G67-F67, "")))</f>
        <v/>
      </c>
      <c r="I67" s="86"/>
      <c r="J67" s="57"/>
      <c r="K67" s="87"/>
    </row>
    <row r="68" spans="1:13" x14ac:dyDescent="0.25">
      <c r="A68" s="56"/>
      <c r="B68" s="18" t="s">
        <v>97</v>
      </c>
      <c r="C68" s="19"/>
      <c r="D68" s="20"/>
      <c r="E68" s="22" t="str">
        <f>IFERROR(E102/E62, "")</f>
        <v/>
      </c>
      <c r="F68" s="22">
        <f>IFERROR(F102/F62, "")</f>
        <v>276.96175818366061</v>
      </c>
      <c r="G68" s="22" t="str">
        <f>IFERROR(G102/G62, "")</f>
        <v/>
      </c>
      <c r="H68" s="117" t="str">
        <f>IF($H$61=Lists!$D$8, IFERROR(F68-E68, ""), IF($H$61=Lists!$D$9, IFERROR(G68-E68, ""), IFERROR(G68-F68, "")))</f>
        <v/>
      </c>
      <c r="I68" s="88"/>
      <c r="J68" s="57"/>
      <c r="K68" s="87"/>
    </row>
    <row r="69" spans="1:13" x14ac:dyDescent="0.25">
      <c r="A69" s="56"/>
      <c r="B69" s="145" t="s">
        <v>98</v>
      </c>
      <c r="C69" s="146"/>
      <c r="D69" s="146"/>
      <c r="E69" s="146"/>
      <c r="F69" s="146"/>
      <c r="G69" s="146"/>
      <c r="H69" s="146"/>
      <c r="I69" s="147"/>
      <c r="J69" s="57"/>
    </row>
    <row r="70" spans="1:13" x14ac:dyDescent="0.25">
      <c r="A70" s="56"/>
      <c r="B70" s="12" t="s">
        <v>99</v>
      </c>
      <c r="C70" s="13"/>
      <c r="D70" s="14"/>
      <c r="E70" s="89"/>
      <c r="F70" s="89"/>
      <c r="G70" s="90"/>
      <c r="H70" s="114" t="str">
        <f>IF(SUM(E70:G70)=0, "", IF($H$61=Lists!$D$8, IFERROR(MROUND(CONVERT(F70-E70,"day","yr")*12, 0.5)&amp;" mo.", ""), IF($H$61=Lists!$D$9, IFERROR(MROUND(CONVERT(G70-E70,"day","yr")*12, 0.5)&amp;" mo.", ""), IFERROR(MROUND(CONVERT(G70-F70,"day","yr")*12, 0.5)&amp;" mo.", ""))))</f>
        <v/>
      </c>
      <c r="I70" s="83"/>
      <c r="J70" s="57"/>
    </row>
    <row r="71" spans="1:13" x14ac:dyDescent="0.25">
      <c r="A71" s="56"/>
      <c r="B71" s="15" t="s">
        <v>100</v>
      </c>
      <c r="D71" s="16"/>
      <c r="E71" s="89"/>
      <c r="F71" s="89">
        <v>44986</v>
      </c>
      <c r="G71" s="90"/>
      <c r="H71" s="114" t="str">
        <f>IF(SUM(E71:G71)=0, "", IF($H$61=Lists!$D$8, IFERROR(MROUND(CONVERT(F71-E71,"day","yr")*12, 0.5)&amp;" mo.", ""), IF($H$61=Lists!$D$9, IFERROR(MROUND(CONVERT(G71-E71,"day","yr")*12, 0.5)&amp;" mo.", ""), IFERROR(MROUND(CONVERT(G71-F71,"day","yr")*12, 0.5)&amp;" mo.", ""))))</f>
        <v/>
      </c>
      <c r="I71" s="83"/>
      <c r="J71" s="57"/>
    </row>
    <row r="72" spans="1:13" x14ac:dyDescent="0.25">
      <c r="A72" s="56"/>
      <c r="B72" s="15" t="s">
        <v>101</v>
      </c>
      <c r="D72" s="16"/>
      <c r="E72" s="89"/>
      <c r="F72" s="89">
        <v>45444</v>
      </c>
      <c r="G72" s="90"/>
      <c r="H72" s="114" t="str">
        <f>IF(SUM(E72:G72)=0, "", IF($H$61=Lists!$D$8, IFERROR(MROUND(CONVERT(F72-E72,"day","yr")*12, 0.5)&amp;" mo.", ""), IF($H$61=Lists!$D$9, IFERROR(MROUND(CONVERT(G72-E72,"day","yr")*12, 0.5)&amp;" mo.", ""), IFERROR(MROUND(CONVERT(G72-F72,"day","yr")*12, 0.5)&amp;" mo.", ""))))</f>
        <v/>
      </c>
      <c r="I72" s="83"/>
      <c r="J72" s="57"/>
    </row>
    <row r="73" spans="1:13" x14ac:dyDescent="0.25">
      <c r="A73" s="56"/>
      <c r="B73" s="15" t="s">
        <v>102</v>
      </c>
      <c r="D73" s="16"/>
      <c r="E73" s="89"/>
      <c r="F73" s="89">
        <v>45474</v>
      </c>
      <c r="G73" s="90"/>
      <c r="H73" s="114" t="str">
        <f>IF(SUM(E73:G73)=0, "", IF($H$61=Lists!$D$8, IFERROR(MROUND(CONVERT(F73-E73,"day","yr")*12, 0.5)&amp;" mo.", ""), IF($H$61=Lists!$D$9, IFERROR(MROUND(CONVERT(G73-E73,"day","yr")*12, 0.5)&amp;" mo.", ""), IFERROR(MROUND(CONVERT(G73-F73,"day","yr")*12, 0.5)&amp;" mo.", ""))))</f>
        <v/>
      </c>
      <c r="I73" s="83"/>
      <c r="J73" s="57"/>
    </row>
    <row r="74" spans="1:13" x14ac:dyDescent="0.25">
      <c r="A74" s="56"/>
      <c r="B74" s="15" t="s">
        <v>103</v>
      </c>
      <c r="D74" s="16"/>
      <c r="E74" s="89"/>
      <c r="F74" s="89">
        <v>46174</v>
      </c>
      <c r="G74" s="90"/>
      <c r="H74" s="114" t="str">
        <f>IF(SUM(E74:G74)=0, "", IF($H$61=Lists!$D$8, IFERROR(MROUND(CONVERT(F74-E74,"day","yr")*12, 0.5)&amp;" mo.", ""), IF($H$61=Lists!$D$9, IFERROR(MROUND(CONVERT(G74-E74,"day","yr")*12, 0.5)&amp;" mo.", ""), IFERROR(MROUND(CONVERT(G74-F74,"day","yr")*12, 0.5)&amp;" mo.", ""))))</f>
        <v/>
      </c>
      <c r="I74" s="83"/>
      <c r="J74" s="57"/>
    </row>
    <row r="75" spans="1:13" x14ac:dyDescent="0.25">
      <c r="A75" s="56"/>
      <c r="B75" s="18" t="s">
        <v>104</v>
      </c>
      <c r="C75" s="19"/>
      <c r="D75" s="20"/>
      <c r="E75" s="89"/>
      <c r="F75" s="89"/>
      <c r="G75" s="90"/>
      <c r="H75" s="114" t="str">
        <f>IF(SUM(E75:G75)=0, "", IF($H$61=Lists!$D$8, IFERROR(MROUND(CONVERT(F75-E75,"day","yr")*12, 0.5)&amp;" mo.", ""), IF($H$61=Lists!$D$9, IFERROR(MROUND(CONVERT(G75-E75,"day","yr")*12, 0.5)&amp;" mo.", ""), IFERROR(MROUND(CONVERT(G75-F75,"day","yr")*12, 0.5)&amp;" mo.", ""))))</f>
        <v/>
      </c>
      <c r="I75" s="83"/>
      <c r="J75" s="57"/>
    </row>
    <row r="76" spans="1:13" ht="9.9499999999999993" customHeight="1" thickBot="1" x14ac:dyDescent="0.3">
      <c r="A76" s="91"/>
      <c r="B76" s="23"/>
      <c r="C76" s="23"/>
      <c r="D76" s="23"/>
      <c r="E76" s="24"/>
      <c r="F76" s="24"/>
      <c r="G76" s="24"/>
      <c r="H76" s="25"/>
      <c r="I76" s="92"/>
      <c r="J76" s="93"/>
    </row>
    <row r="77" spans="1:13" s="69" customFormat="1" ht="27" customHeight="1" thickTop="1" thickBot="1" x14ac:dyDescent="0.3">
      <c r="A77" s="154" t="s">
        <v>105</v>
      </c>
      <c r="B77" s="155"/>
      <c r="C77" s="155"/>
      <c r="D77" s="155"/>
      <c r="E77" s="155"/>
      <c r="F77" s="155"/>
      <c r="G77" s="155"/>
      <c r="H77" s="155"/>
      <c r="I77" s="155"/>
      <c r="J77" s="156"/>
    </row>
    <row r="78" spans="1:13" ht="9.9499999999999993" customHeight="1" thickTop="1" x14ac:dyDescent="0.25">
      <c r="A78" s="56"/>
      <c r="B78" s="33"/>
      <c r="C78" s="33"/>
      <c r="D78" s="33"/>
      <c r="E78" s="26"/>
      <c r="F78" s="26"/>
      <c r="G78" s="26"/>
      <c r="H78" s="27"/>
      <c r="I78" s="94"/>
      <c r="J78" s="57"/>
    </row>
    <row r="79" spans="1:13" ht="75" customHeight="1" x14ac:dyDescent="0.25">
      <c r="A79" s="56"/>
      <c r="B79" s="144" t="s">
        <v>87</v>
      </c>
      <c r="C79" s="144"/>
      <c r="D79" s="144"/>
      <c r="E79" s="74" t="s">
        <v>106</v>
      </c>
      <c r="F79" s="74" t="s">
        <v>107</v>
      </c>
      <c r="G79" s="74" t="str">
        <f>IF(FCOR=TRUE, "Actual Cost Data at Final Completion", "Actual Costs to Date")</f>
        <v>Actual Costs to Date</v>
      </c>
      <c r="H79" s="74" t="str">
        <f>H61</f>
        <v>Estimate as Currently Funded to Actuals Variance</v>
      </c>
      <c r="I79" s="11" t="s">
        <v>50</v>
      </c>
      <c r="J79" s="57"/>
    </row>
    <row r="80" spans="1:13" x14ac:dyDescent="0.25">
      <c r="A80" s="56"/>
      <c r="B80" s="148" t="s">
        <v>108</v>
      </c>
      <c r="C80" s="149"/>
      <c r="D80" s="149"/>
      <c r="E80" s="149"/>
      <c r="F80" s="149"/>
      <c r="G80" s="149"/>
      <c r="H80" s="149"/>
      <c r="I80" s="150"/>
      <c r="J80" s="57"/>
    </row>
    <row r="81" spans="1:11" x14ac:dyDescent="0.25">
      <c r="A81" s="56"/>
      <c r="B81" s="165" t="s">
        <v>109</v>
      </c>
      <c r="C81" s="166"/>
      <c r="D81" s="167"/>
      <c r="E81" s="95"/>
      <c r="F81" s="95"/>
      <c r="G81" s="95"/>
      <c r="H81" s="118">
        <f>IF($H$61=Lists!$D$8, IFERROR(F81-E81, ""), IF($H$61=Lists!$D$9, IFERROR(G81-E81, ""), IFERROR(G81-F81, "")))</f>
        <v>0</v>
      </c>
      <c r="I81" s="83"/>
      <c r="J81" s="57"/>
    </row>
    <row r="82" spans="1:11" ht="9.9499999999999993" customHeight="1" x14ac:dyDescent="0.25">
      <c r="A82" s="56"/>
      <c r="B82" s="28"/>
      <c r="C82" s="28"/>
      <c r="D82" s="28"/>
      <c r="E82" s="29"/>
      <c r="F82" s="29"/>
      <c r="G82" s="29"/>
      <c r="H82" s="30"/>
      <c r="I82" s="96"/>
      <c r="J82" s="57"/>
    </row>
    <row r="83" spans="1:11" x14ac:dyDescent="0.25">
      <c r="A83" s="56"/>
      <c r="B83" s="148" t="s">
        <v>110</v>
      </c>
      <c r="C83" s="149"/>
      <c r="D83" s="149"/>
      <c r="E83" s="149"/>
      <c r="F83" s="149"/>
      <c r="G83" s="149"/>
      <c r="H83" s="149"/>
      <c r="I83" s="150"/>
      <c r="J83" s="57"/>
    </row>
    <row r="84" spans="1:11" x14ac:dyDescent="0.25">
      <c r="A84" s="56"/>
      <c r="B84" s="12" t="s">
        <v>111</v>
      </c>
      <c r="C84" s="13"/>
      <c r="D84" s="14"/>
      <c r="E84" s="97"/>
      <c r="F84" s="97">
        <v>15030</v>
      </c>
      <c r="G84" s="98">
        <v>15030</v>
      </c>
      <c r="H84" s="31">
        <f>IF($H$61=Lists!$D$8, IFERROR(F84-E84, ""), IF($H$61=Lists!$D$9, IFERROR(G84-E84, ""), IFERROR(G84-F84, "")))</f>
        <v>0</v>
      </c>
      <c r="I84" s="83" t="s">
        <v>112</v>
      </c>
      <c r="J84" s="57"/>
      <c r="K84" t="s">
        <v>113</v>
      </c>
    </row>
    <row r="85" spans="1:11" x14ac:dyDescent="0.25">
      <c r="A85" s="56"/>
      <c r="B85" s="15" t="s">
        <v>114</v>
      </c>
      <c r="D85" s="16"/>
      <c r="E85" s="97"/>
      <c r="F85" s="97">
        <v>1249317</v>
      </c>
      <c r="G85" s="98">
        <v>342412.59</v>
      </c>
      <c r="H85" s="31">
        <f>IF($H$61=Lists!$D$8, IFERROR(F85-E85, ""), IF($H$61=Lists!$D$9, IFERROR(G85-E85, ""), IFERROR(G85-F85, "")))</f>
        <v>-906904.40999999992</v>
      </c>
      <c r="I85" s="83" t="s">
        <v>115</v>
      </c>
      <c r="J85" s="57"/>
      <c r="K85" t="s">
        <v>116</v>
      </c>
    </row>
    <row r="86" spans="1:11" x14ac:dyDescent="0.25">
      <c r="A86" s="56"/>
      <c r="B86" s="15" t="s">
        <v>117</v>
      </c>
      <c r="D86" s="16"/>
      <c r="E86" s="97"/>
      <c r="F86" s="97">
        <v>712505</v>
      </c>
      <c r="G86" s="98">
        <v>93276.19</v>
      </c>
      <c r="H86" s="31">
        <f>IF($H$61=Lists!$D$8, IFERROR(F86-E86, ""), IF($H$61=Lists!$D$9, IFERROR(G86-E86, ""), IFERROR(G86-F86, "")))</f>
        <v>-619228.81000000006</v>
      </c>
      <c r="I86" s="83" t="s">
        <v>118</v>
      </c>
      <c r="J86" s="57"/>
      <c r="K86" t="s">
        <v>119</v>
      </c>
    </row>
    <row r="87" spans="1:11" x14ac:dyDescent="0.25">
      <c r="A87" s="56"/>
      <c r="B87" s="15" t="s">
        <v>120</v>
      </c>
      <c r="D87" s="16"/>
      <c r="E87" s="97"/>
      <c r="F87" s="97">
        <f>451291*1.0526</f>
        <v>475028.90659999999</v>
      </c>
      <c r="G87" s="97"/>
      <c r="H87" s="31">
        <f>IF($H$61=Lists!$D$8, IFERROR(F87-E87, ""), IF($H$61=Lists!$D$9, IFERROR(G87-E87, ""), IFERROR(G87-F87, "")))</f>
        <v>-475028.90659999999</v>
      </c>
      <c r="I87" s="83"/>
      <c r="J87" s="57"/>
      <c r="K87" t="s">
        <v>121</v>
      </c>
    </row>
    <row r="88" spans="1:11" x14ac:dyDescent="0.25">
      <c r="A88" s="56"/>
      <c r="B88" s="15" t="s">
        <v>122</v>
      </c>
      <c r="D88" s="16"/>
      <c r="E88" s="97"/>
      <c r="F88" s="97">
        <f>701338-F87</f>
        <v>226309.09340000001</v>
      </c>
      <c r="G88" s="97"/>
      <c r="H88" s="32">
        <f>IF($H$61=Lists!$D$8, IFERROR(F88-E88, ""), IF($H$61=Lists!$D$9, IFERROR(G88-E88, ""), IFERROR(G88-F88, "")))</f>
        <v>-226309.09340000001</v>
      </c>
      <c r="I88" s="83"/>
      <c r="J88" s="57"/>
      <c r="K88" t="s">
        <v>123</v>
      </c>
    </row>
    <row r="89" spans="1:11" x14ac:dyDescent="0.25">
      <c r="A89" s="56"/>
      <c r="B89" s="15" t="s">
        <v>124</v>
      </c>
      <c r="D89" s="16"/>
      <c r="E89" s="97"/>
      <c r="F89" s="97">
        <v>139109</v>
      </c>
      <c r="G89" s="98"/>
      <c r="H89" s="31">
        <f>IF($H$61=Lists!$D$8, IFERROR(F89-E89, ""), IF($H$61=Lists!$D$9, IFERROR(G89-E89, ""), IFERROR(G89-F89, "")))</f>
        <v>-139109</v>
      </c>
      <c r="I89" s="99"/>
      <c r="J89" s="57"/>
    </row>
    <row r="90" spans="1:11" x14ac:dyDescent="0.25">
      <c r="A90" s="56"/>
      <c r="B90" s="206" t="s">
        <v>125</v>
      </c>
      <c r="C90" s="207"/>
      <c r="D90" s="208"/>
      <c r="E90" s="34">
        <f>SUM(E84:E89)</f>
        <v>0</v>
      </c>
      <c r="F90" s="34">
        <f>SUM(F84:F89)</f>
        <v>2817299</v>
      </c>
      <c r="G90" s="34">
        <f>SUM(G84:G89)</f>
        <v>450718.78</v>
      </c>
      <c r="H90" s="35">
        <f>IF($H$61=Lists!$D$8, IFERROR(F90-E90, ""), IF($H$61=Lists!$D$9, IFERROR(G90-E90, ""), IFERROR(G90-F90, "")))</f>
        <v>-2366580.2199999997</v>
      </c>
      <c r="I90" s="100"/>
      <c r="J90" s="57"/>
    </row>
    <row r="91" spans="1:11" ht="9.9499999999999993" customHeight="1" x14ac:dyDescent="0.25">
      <c r="A91" s="56"/>
      <c r="J91" s="57"/>
    </row>
    <row r="92" spans="1:11" x14ac:dyDescent="0.25">
      <c r="A92" s="56"/>
      <c r="B92" s="148" t="s">
        <v>126</v>
      </c>
      <c r="C92" s="149"/>
      <c r="D92" s="149"/>
      <c r="E92" s="149"/>
      <c r="F92" s="149"/>
      <c r="G92" s="149"/>
      <c r="H92" s="149"/>
      <c r="I92" s="150"/>
      <c r="J92" s="57"/>
    </row>
    <row r="93" spans="1:11" ht="14.45" customHeight="1" x14ac:dyDescent="0.25">
      <c r="A93" s="56"/>
      <c r="B93" s="12" t="s">
        <v>127</v>
      </c>
      <c r="C93" s="13"/>
      <c r="D93" s="14"/>
      <c r="E93" s="97"/>
      <c r="F93" s="97"/>
      <c r="G93" s="98"/>
      <c r="H93" s="36">
        <f>IF($H$61=Lists!$D$8, IFERROR(F93-E93, ""), IF($H$61=Lists!$D$9, IFERROR(G93-E93, ""), IFERROR(G93-F93, "")))</f>
        <v>0</v>
      </c>
      <c r="I93" s="83"/>
      <c r="J93" s="57"/>
    </row>
    <row r="94" spans="1:11" x14ac:dyDescent="0.25">
      <c r="A94" s="56"/>
      <c r="B94" s="15" t="s">
        <v>128</v>
      </c>
      <c r="D94" s="16"/>
      <c r="E94" s="97"/>
      <c r="F94" s="97"/>
      <c r="G94" s="98"/>
      <c r="H94" s="36">
        <f>IF($H$61=Lists!$D$8, IFERROR(F94-E94, ""), IF($H$61=Lists!$D$9, IFERROR(G94-E94, ""), IFERROR(G94-F94, "")))</f>
        <v>0</v>
      </c>
      <c r="I94" s="99"/>
      <c r="J94" s="57"/>
    </row>
    <row r="95" spans="1:11" x14ac:dyDescent="0.25">
      <c r="A95" s="56"/>
      <c r="B95" s="15" t="s">
        <v>129</v>
      </c>
      <c r="D95" s="16"/>
      <c r="E95" s="97"/>
      <c r="F95" s="97">
        <v>11945366</v>
      </c>
      <c r="G95" s="97">
        <v>1467149.86</v>
      </c>
      <c r="H95" s="37">
        <f>IF($H$61=Lists!$D$8, IFERROR(F95-E95, ""), IF($H$61=Lists!$D$9, IFERROR(G95-E95, ""), IFERROR(G95-F95, "")))</f>
        <v>-10478216.140000001</v>
      </c>
      <c r="I95" s="99" t="s">
        <v>130</v>
      </c>
      <c r="J95" s="57"/>
      <c r="K95" s="130"/>
    </row>
    <row r="96" spans="1:11" x14ac:dyDescent="0.25">
      <c r="A96" s="56"/>
      <c r="B96" s="203" t="s">
        <v>131</v>
      </c>
      <c r="C96" s="204"/>
      <c r="D96" s="205"/>
      <c r="E96" s="38">
        <f>SUM(E93:E95)</f>
        <v>0</v>
      </c>
      <c r="F96" s="38">
        <f t="shared" ref="F96:G96" si="6">SUM(F93:F95)</f>
        <v>11945366</v>
      </c>
      <c r="G96" s="38">
        <f t="shared" si="6"/>
        <v>1467149.86</v>
      </c>
      <c r="H96" s="36">
        <f>IF($H$61=Lists!$D$8, IFERROR(F96-E96, ""), IF($H$61=Lists!$D$9, IFERROR(G96-E96, ""), IFERROR(G96-F96, "")))</f>
        <v>-10478216.140000001</v>
      </c>
      <c r="I96" s="100"/>
      <c r="J96" s="57"/>
    </row>
    <row r="97" spans="1:11" x14ac:dyDescent="0.25">
      <c r="A97" s="56"/>
      <c r="B97" s="15" t="s">
        <v>132</v>
      </c>
      <c r="D97" s="16"/>
      <c r="E97" s="97"/>
      <c r="F97" s="97">
        <v>2389074</v>
      </c>
      <c r="G97" s="98"/>
      <c r="H97" s="36">
        <f>IF($H$61=Lists!$D$8, IFERROR(F97-E97, ""), IF($H$61=Lists!$D$9, IFERROR(G97-E97, ""), IFERROR(G97-F97, "")))</f>
        <v>-2389074</v>
      </c>
      <c r="I97" s="99"/>
      <c r="J97" s="57"/>
    </row>
    <row r="98" spans="1:11" x14ac:dyDescent="0.25">
      <c r="A98" s="56"/>
      <c r="B98" s="15" t="s">
        <v>133</v>
      </c>
      <c r="D98" s="16"/>
      <c r="E98" s="97"/>
      <c r="F98" s="97"/>
      <c r="G98" s="97"/>
      <c r="H98" s="36">
        <f>IF($H$61=Lists!$D$8, IFERROR(F98-E98, ""), IF($H$61=Lists!$D$9, IFERROR(G98-E98, ""), IFERROR(G98-F98, "")))</f>
        <v>0</v>
      </c>
      <c r="I98" s="99"/>
      <c r="J98" s="57"/>
    </row>
    <row r="99" spans="1:11" x14ac:dyDescent="0.25">
      <c r="A99" s="56"/>
      <c r="B99" s="15" t="s">
        <v>134</v>
      </c>
      <c r="D99" s="16"/>
      <c r="E99" s="97"/>
      <c r="F99" s="97">
        <v>1525373</v>
      </c>
      <c r="G99" s="97">
        <v>129448.5</v>
      </c>
      <c r="H99" s="36">
        <f>IF($H$61=Lists!$D$8, IFERROR(F99-E99, ""), IF($H$61=Lists!$D$9, IFERROR(G99-E99, ""), IFERROR(G99-F99, "")))</f>
        <v>-1395924.5</v>
      </c>
      <c r="I99" s="99" t="s">
        <v>130</v>
      </c>
      <c r="J99" s="57"/>
      <c r="K99" t="s">
        <v>135</v>
      </c>
    </row>
    <row r="100" spans="1:11" x14ac:dyDescent="0.25">
      <c r="A100" s="56"/>
      <c r="B100" s="15" t="str">
        <f>IF(C58=Lists!J3, "GCCM Costs", IF(C58=Lists!J4, "Design-Build Costs", ""))</f>
        <v>GCCM Costs</v>
      </c>
      <c r="D100" s="16"/>
      <c r="E100" s="97"/>
      <c r="F100" s="97">
        <v>2402075</v>
      </c>
      <c r="G100" s="97"/>
      <c r="H100" s="36">
        <f>IF($H$61=Lists!$D$8, IFERROR(F100-E100, ""), IF($H$61=Lists!$D$9, IFERROR(G100-E100, ""), IFERROR(G100-F100, "")))</f>
        <v>-2402075</v>
      </c>
      <c r="I100" s="99"/>
      <c r="J100" s="57"/>
      <c r="K100" t="s">
        <v>136</v>
      </c>
    </row>
    <row r="101" spans="1:11" x14ac:dyDescent="0.25">
      <c r="A101" s="56"/>
      <c r="B101" s="15" t="str">
        <f>IF(C58=Lists!J3, "GCCM Risk Contingency", "")</f>
        <v>GCCM Risk Contingency</v>
      </c>
      <c r="D101" s="16"/>
      <c r="E101" s="97"/>
      <c r="F101" s="97">
        <v>597269</v>
      </c>
      <c r="G101" s="97"/>
      <c r="H101" s="36">
        <f>IF($H$61=Lists!$D$8, IFERROR(F101-E101, ""), IF($H$61=Lists!$D$9, IFERROR(G101-E101, ""), IFERROR(G101-F101, "")))</f>
        <v>-597269</v>
      </c>
      <c r="I101" s="99"/>
      <c r="J101" s="57"/>
    </row>
    <row r="102" spans="1:11" x14ac:dyDescent="0.25">
      <c r="A102" s="56"/>
      <c r="B102" s="206" t="s">
        <v>137</v>
      </c>
      <c r="C102" s="207"/>
      <c r="D102" s="208"/>
      <c r="E102" s="38">
        <f>SUM(E96:E101)</f>
        <v>0</v>
      </c>
      <c r="F102" s="38">
        <f t="shared" ref="F102:G102" si="7">SUM(F96:F101)</f>
        <v>18859157</v>
      </c>
      <c r="G102" s="38">
        <f t="shared" si="7"/>
        <v>1596598.36</v>
      </c>
      <c r="H102" s="39">
        <f>IF($H$61=Lists!$D$8, IFERROR(F102-E102, ""), IF($H$61=Lists!$D$9, IFERROR(G102-E102, ""), IFERROR(G102-F102, "")))</f>
        <v>-17262558.640000001</v>
      </c>
      <c r="I102" s="84"/>
      <c r="J102" s="57"/>
    </row>
    <row r="103" spans="1:11" ht="9.9499999999999993" customHeight="1" x14ac:dyDescent="0.25">
      <c r="A103" s="56"/>
      <c r="J103" s="57"/>
    </row>
    <row r="104" spans="1:11" x14ac:dyDescent="0.25">
      <c r="A104" s="56"/>
      <c r="B104" s="148" t="s">
        <v>138</v>
      </c>
      <c r="C104" s="149"/>
      <c r="D104" s="149"/>
      <c r="E104" s="149"/>
      <c r="F104" s="149"/>
      <c r="G104" s="149"/>
      <c r="H104" s="149"/>
      <c r="I104" s="150"/>
      <c r="J104" s="57"/>
    </row>
    <row r="105" spans="1:11" x14ac:dyDescent="0.25">
      <c r="A105" s="56"/>
      <c r="B105" s="40" t="s">
        <v>139</v>
      </c>
      <c r="D105" s="16"/>
      <c r="E105" s="101"/>
      <c r="F105" s="101">
        <v>883199</v>
      </c>
      <c r="G105" s="102">
        <v>61539.02</v>
      </c>
      <c r="H105" s="41">
        <f>IF($H$61=Lists!$D$8, IFERROR(F105-E105, ""), IF($H$61=Lists!$D$9, IFERROR(G105-E105, ""), IFERROR(G105-F105, "")))</f>
        <v>-821659.98</v>
      </c>
      <c r="I105" s="103" t="s">
        <v>140</v>
      </c>
      <c r="J105" s="104"/>
    </row>
    <row r="106" spans="1:11" x14ac:dyDescent="0.25">
      <c r="A106" s="56"/>
      <c r="B106" s="40" t="s">
        <v>141</v>
      </c>
      <c r="D106" s="16"/>
      <c r="E106" s="101"/>
      <c r="F106" s="101">
        <v>106912</v>
      </c>
      <c r="G106" s="102">
        <v>0</v>
      </c>
      <c r="H106" s="41">
        <f>IF($H$61=Lists!$D$8, IFERROR(F106-E106, ""), IF($H$61=Lists!$D$9, IFERROR(G106-E106, ""), IFERROR(G106-F106, "")))</f>
        <v>-106912</v>
      </c>
      <c r="I106" s="103"/>
      <c r="J106" s="104"/>
    </row>
    <row r="107" spans="1:11" x14ac:dyDescent="0.25">
      <c r="A107" s="56"/>
      <c r="B107" s="40" t="s">
        <v>142</v>
      </c>
      <c r="D107" s="16"/>
      <c r="E107" s="97"/>
      <c r="F107" s="97">
        <v>22737</v>
      </c>
      <c r="G107" s="98"/>
      <c r="H107" s="42">
        <f>IF($H$61=Lists!$D$8, IFERROR(F107-E107, ""), IF($H$61=Lists!$D$9, IFERROR(G107-E107, ""), IFERROR(G107-F107, "")))</f>
        <v>-22737</v>
      </c>
      <c r="I107" s="83"/>
      <c r="J107" s="57"/>
    </row>
    <row r="108" spans="1:11" x14ac:dyDescent="0.25">
      <c r="A108" s="56"/>
      <c r="B108" s="40" t="s">
        <v>143</v>
      </c>
      <c r="D108" s="16"/>
      <c r="E108" s="97"/>
      <c r="F108" s="97"/>
      <c r="G108" s="105"/>
      <c r="H108" s="43">
        <f>IF($H$61=Lists!$D$8, IFERROR(F108-E108, ""), IF($H$61=Lists!$D$9, IFERROR(G108-E108, ""), IFERROR(G108-F108, "")))</f>
        <v>0</v>
      </c>
      <c r="I108" s="103"/>
      <c r="J108" s="104"/>
    </row>
    <row r="109" spans="1:11" ht="15.75" thickBot="1" x14ac:dyDescent="0.3">
      <c r="A109" s="56"/>
      <c r="B109" s="209" t="s">
        <v>144</v>
      </c>
      <c r="C109" s="210"/>
      <c r="D109" s="211"/>
      <c r="E109" s="44">
        <f>SUM(E105:E108)</f>
        <v>0</v>
      </c>
      <c r="F109" s="44">
        <f>SUM(F105:F108)</f>
        <v>1012848</v>
      </c>
      <c r="G109" s="44">
        <f>SUM(G105:G108)</f>
        <v>61539.02</v>
      </c>
      <c r="H109" s="39">
        <f>IF($H$61=Lists!$D$8, IFERROR(F109-E109, ""), IF($H$61=Lists!$D$9, IFERROR(G109-E109, ""), IFERROR(G109-F109, "")))</f>
        <v>-951308.98</v>
      </c>
      <c r="I109" s="106"/>
      <c r="J109" s="104"/>
    </row>
    <row r="110" spans="1:11" ht="20.25" thickTop="1" thickBot="1" x14ac:dyDescent="0.35">
      <c r="A110" s="56"/>
      <c r="B110" s="107" t="s">
        <v>145</v>
      </c>
      <c r="C110" s="108"/>
      <c r="D110" s="108"/>
      <c r="E110" s="109">
        <f>SUM(E81,E90,E102,E109)</f>
        <v>0</v>
      </c>
      <c r="F110" s="109">
        <f>SUM(F81,F90,F102,F109)</f>
        <v>22689304</v>
      </c>
      <c r="G110" s="109">
        <f>SUM(G81,G90,G102,G109)</f>
        <v>2108856.16</v>
      </c>
      <c r="H110" s="109">
        <f>SUM(H81,H90,H102,H109)</f>
        <v>-20580447.84</v>
      </c>
      <c r="I110" s="110"/>
      <c r="J110" s="104"/>
    </row>
    <row r="111" spans="1:11" ht="9.9499999999999993" customHeight="1" thickTop="1" x14ac:dyDescent="0.25">
      <c r="A111" s="56"/>
      <c r="B111" s="45"/>
      <c r="C111" s="45"/>
      <c r="D111" s="45"/>
      <c r="E111" s="46"/>
      <c r="F111" s="46"/>
      <c r="G111" s="46"/>
      <c r="H111" s="46"/>
      <c r="I111" s="111"/>
      <c r="J111" s="104"/>
    </row>
    <row r="112" spans="1:11" s="1" customFormat="1" x14ac:dyDescent="0.25">
      <c r="A112" s="60"/>
      <c r="B112" s="151" t="str">
        <f>IF(ReportType=Lists!$O$2, "", "Close-Out Information")</f>
        <v/>
      </c>
      <c r="C112" s="152"/>
      <c r="D112" s="152"/>
      <c r="E112" s="152"/>
      <c r="F112" s="152"/>
      <c r="G112" s="152"/>
      <c r="H112" s="152"/>
      <c r="I112" s="153"/>
      <c r="J112" s="61"/>
    </row>
    <row r="113" spans="1:10" s="1" customFormat="1" x14ac:dyDescent="0.25">
      <c r="A113" s="60"/>
      <c r="B113" s="47"/>
      <c r="C113" s="219"/>
      <c r="D113" s="219"/>
      <c r="E113" s="219" t="str">
        <f>IF(ReportType=Lists!$O$2, "", "NOTES")</f>
        <v/>
      </c>
      <c r="F113" s="219"/>
      <c r="G113" s="219"/>
      <c r="H113" s="219"/>
      <c r="I113" s="164"/>
      <c r="J113" s="61"/>
    </row>
    <row r="114" spans="1:10" ht="15" customHeight="1" x14ac:dyDescent="0.25">
      <c r="A114" s="56"/>
      <c r="B114" s="80" t="str">
        <f>IF(ReportType=Lists!$O$2, "", "Number of Change Orders")</f>
        <v/>
      </c>
      <c r="C114" s="212"/>
      <c r="D114" s="213"/>
      <c r="E114" s="216"/>
      <c r="F114" s="217"/>
      <c r="G114" s="217"/>
      <c r="H114" s="217"/>
      <c r="I114" s="218"/>
      <c r="J114" s="57"/>
    </row>
    <row r="115" spans="1:10" ht="15" customHeight="1" x14ac:dyDescent="0.25">
      <c r="A115" s="56"/>
      <c r="B115" s="80" t="str">
        <f>IF(ReportType=Lists!$O$2, "", "Total Value of Change Orders")</f>
        <v/>
      </c>
      <c r="C115" s="220"/>
      <c r="D115" s="221"/>
      <c r="E115" s="120"/>
      <c r="F115" s="121"/>
      <c r="G115" s="121"/>
      <c r="H115" s="121"/>
      <c r="I115" s="122"/>
      <c r="J115" s="57"/>
    </row>
    <row r="116" spans="1:10" ht="15" customHeight="1" x14ac:dyDescent="0.25">
      <c r="A116" s="56"/>
      <c r="B116" s="80" t="str">
        <f>IF(ReportType=Lists!$O$2, "", "Outstanding Liabilities")</f>
        <v/>
      </c>
      <c r="C116" s="220"/>
      <c r="D116" s="221"/>
      <c r="E116" s="120"/>
      <c r="F116" s="121"/>
      <c r="G116" s="121"/>
      <c r="H116" s="121"/>
      <c r="I116" s="122"/>
      <c r="J116" s="57"/>
    </row>
    <row r="117" spans="1:10" x14ac:dyDescent="0.25">
      <c r="A117" s="56"/>
      <c r="B117" s="18" t="str">
        <f>IF(ReportType=Lists!$O$2, "", "Unsettled Claims")</f>
        <v/>
      </c>
      <c r="C117" s="214"/>
      <c r="D117" s="215"/>
      <c r="E117" s="216"/>
      <c r="F117" s="217"/>
      <c r="G117" s="217"/>
      <c r="H117" s="217"/>
      <c r="I117" s="218"/>
      <c r="J117" s="57"/>
    </row>
    <row r="118" spans="1:10" ht="9.9499999999999993" customHeight="1" x14ac:dyDescent="0.25">
      <c r="A118" s="56"/>
      <c r="J118" s="57"/>
    </row>
    <row r="119" spans="1:10" ht="15.75" thickBot="1" x14ac:dyDescent="0.3">
      <c r="A119" s="56"/>
      <c r="B119" s="1" t="s">
        <v>146</v>
      </c>
      <c r="J119" s="57"/>
    </row>
    <row r="120" spans="1:10" x14ac:dyDescent="0.25">
      <c r="A120" s="56"/>
      <c r="B120" s="194" t="s">
        <v>243</v>
      </c>
      <c r="C120" s="195"/>
      <c r="D120" s="195"/>
      <c r="E120" s="195"/>
      <c r="F120" s="195"/>
      <c r="G120" s="195"/>
      <c r="H120" s="195"/>
      <c r="I120" s="196"/>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x14ac:dyDescent="0.25">
      <c r="A134" s="56"/>
      <c r="B134" s="197"/>
      <c r="C134" s="198"/>
      <c r="D134" s="198"/>
      <c r="E134" s="198"/>
      <c r="F134" s="198"/>
      <c r="G134" s="198"/>
      <c r="H134" s="198"/>
      <c r="I134" s="199"/>
      <c r="J134" s="57"/>
    </row>
    <row r="135" spans="1:10" x14ac:dyDescent="0.25">
      <c r="A135" s="56"/>
      <c r="B135" s="197"/>
      <c r="C135" s="198"/>
      <c r="D135" s="198"/>
      <c r="E135" s="198"/>
      <c r="F135" s="198"/>
      <c r="G135" s="198"/>
      <c r="H135" s="198"/>
      <c r="I135" s="199"/>
      <c r="J135" s="57"/>
    </row>
    <row r="136" spans="1:10" x14ac:dyDescent="0.25">
      <c r="A136" s="56"/>
      <c r="B136" s="197"/>
      <c r="C136" s="198"/>
      <c r="D136" s="198"/>
      <c r="E136" s="198"/>
      <c r="F136" s="198"/>
      <c r="G136" s="198"/>
      <c r="H136" s="198"/>
      <c r="I136" s="199"/>
      <c r="J136" s="57"/>
    </row>
    <row r="137" spans="1:10" x14ac:dyDescent="0.25">
      <c r="A137" s="56"/>
      <c r="B137" s="197"/>
      <c r="C137" s="198"/>
      <c r="D137" s="198"/>
      <c r="E137" s="198"/>
      <c r="F137" s="198"/>
      <c r="G137" s="198"/>
      <c r="H137" s="198"/>
      <c r="I137" s="199"/>
      <c r="J137" s="57"/>
    </row>
    <row r="138" spans="1:10" x14ac:dyDescent="0.25">
      <c r="A138" s="56"/>
      <c r="B138" s="197"/>
      <c r="C138" s="198"/>
      <c r="D138" s="198"/>
      <c r="E138" s="198"/>
      <c r="F138" s="198"/>
      <c r="G138" s="198"/>
      <c r="H138" s="198"/>
      <c r="I138" s="199"/>
      <c r="J138" s="57"/>
    </row>
    <row r="139" spans="1:10" ht="15.75" thickBot="1" x14ac:dyDescent="0.3">
      <c r="A139" s="56"/>
      <c r="B139" s="200"/>
      <c r="C139" s="201"/>
      <c r="D139" s="201"/>
      <c r="E139" s="201"/>
      <c r="F139" s="201"/>
      <c r="G139" s="201"/>
      <c r="H139" s="201"/>
      <c r="I139" s="202"/>
      <c r="J139" s="57"/>
    </row>
    <row r="140" spans="1:10" ht="9.9499999999999993" customHeight="1" thickBot="1" x14ac:dyDescent="0.3">
      <c r="A140" s="91"/>
      <c r="B140" s="63"/>
      <c r="C140" s="63"/>
      <c r="D140" s="63"/>
      <c r="E140" s="63"/>
      <c r="F140" s="63"/>
      <c r="G140" s="63"/>
      <c r="H140" s="63"/>
      <c r="I140" s="63"/>
      <c r="J140" s="93"/>
    </row>
    <row r="141" spans="1:10" ht="15.75" thickTop="1" x14ac:dyDescent="0.25"/>
  </sheetData>
  <sheetProtection formatCells="0" formatColumns="0" formatRows="0" insertRows="0" insertHyperlinks="0"/>
  <mergeCells count="53">
    <mergeCell ref="B120:I139"/>
    <mergeCell ref="B96:D96"/>
    <mergeCell ref="B102:D102"/>
    <mergeCell ref="B109:D109"/>
    <mergeCell ref="B90:D90"/>
    <mergeCell ref="B112:I112"/>
    <mergeCell ref="C114:D114"/>
    <mergeCell ref="C117:D117"/>
    <mergeCell ref="E114:I114"/>
    <mergeCell ref="E117:I117"/>
    <mergeCell ref="C113:D113"/>
    <mergeCell ref="E113:I113"/>
    <mergeCell ref="B92:I92"/>
    <mergeCell ref="B104:I104"/>
    <mergeCell ref="C115:D115"/>
    <mergeCell ref="C116:D116"/>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83:I83"/>
    <mergeCell ref="B29:I29"/>
    <mergeCell ref="B55:I55"/>
    <mergeCell ref="A77:J77"/>
    <mergeCell ref="B79:D79"/>
    <mergeCell ref="C30:I30"/>
    <mergeCell ref="C31:D31"/>
    <mergeCell ref="E31:G31"/>
    <mergeCell ref="H31:H32"/>
    <mergeCell ref="I31:I32"/>
    <mergeCell ref="B81:D81"/>
    <mergeCell ref="E56:F56"/>
    <mergeCell ref="C56:D56"/>
    <mergeCell ref="C57:D57"/>
    <mergeCell ref="C58:D58"/>
    <mergeCell ref="B80:I80"/>
    <mergeCell ref="G56:H56"/>
    <mergeCell ref="G57:H57"/>
    <mergeCell ref="G58:H58"/>
    <mergeCell ref="B61:D61"/>
    <mergeCell ref="B69:I69"/>
    <mergeCell ref="B60:I60"/>
  </mergeCells>
  <conditionalFormatting sqref="A117:J140 A115:C116 E115:J116 A1:J114">
    <cfRule type="expression" dxfId="2" priority="3">
      <formula>CELL("PROTECT", A1)=0</formula>
    </cfRule>
  </conditionalFormatting>
  <conditionalFormatting sqref="E100:I101">
    <cfRule type="expression" dxfId="1" priority="2">
      <formula>$B100=""</formula>
    </cfRule>
  </conditionalFormatting>
  <dataValidations disablePrompts="1" count="1">
    <dataValidation type="list" allowBlank="1" showInputMessage="1" showErrorMessage="1" sqref="K68" xr:uid="{00000000-0002-0000-0100-000000000000}">
      <formula1>"PMoptions"</formula1>
    </dataValidation>
  </dataValidations>
  <hyperlinks>
    <hyperlink ref="C12" r:id="rId1" xr:uid="{97F1A572-6CC7-47C2-AAD2-59BB0988A2DE}"/>
  </hyperlinks>
  <pageMargins left="0.45" right="0.45" top="0.5" bottom="0.5" header="0.3" footer="0.3"/>
  <pageSetup scale="66" fitToHeight="2" orientation="portrait" r:id="rId2"/>
  <headerFooter>
    <oddFooter>&amp;C&amp;P</oddFooter>
  </headerFooter>
  <rowBreaks count="1" manualBreakCount="1">
    <brk id="68" max="9" man="1"/>
  </rowBreaks>
  <extLst>
    <ext xmlns:x14="http://schemas.microsoft.com/office/spreadsheetml/2009/9/main" uri="{78C0D931-6437-407d-A8EE-F0AAD7539E65}">
      <x14:conditionalFormattings>
        <x14:conditionalFormatting xmlns:xm="http://schemas.microsoft.com/office/excel/2006/main">
          <x14:cfRule type="expression" priority="1" id="{B9175676-CF21-48FE-9D3A-C33726FBC220}">
            <xm:f>ReportType=Lists!$O$2</xm:f>
            <x14:dxf>
              <font>
                <b val="0"/>
                <i val="0"/>
              </font>
              <numFmt numFmtId="0" formatCode="General"/>
              <fill>
                <patternFill patternType="none">
                  <bgColor auto="1"/>
                </patternFill>
              </fill>
              <border>
                <left/>
                <right/>
                <top/>
                <bottom/>
                <vertical/>
                <horizontal/>
              </border>
            </x14:dxf>
          </x14:cfRule>
          <xm:sqref>B112:I117</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100-000001000000}">
          <x14:formula1>
            <xm:f>Lists!$B$2:$B$65</xm:f>
          </x14:formula1>
          <xm:sqref>C56:D56</xm:sqref>
        </x14:dataValidation>
        <x14:dataValidation type="list" allowBlank="1" showInputMessage="1" showErrorMessage="1" xr:uid="{00000000-0002-0000-0100-000002000000}">
          <x14:formula1>
            <xm:f>Lists!$D$2:$D$3</xm:f>
          </x14:formula1>
          <xm:sqref>G57:H58</xm:sqref>
        </x14:dataValidation>
        <x14:dataValidation type="list" allowBlank="1" showInputMessage="1" showErrorMessage="1" xr:uid="{00000000-0002-0000-0100-000003000000}">
          <x14:formula1>
            <xm:f>Lists!$F$2:$F$4</xm:f>
          </x14:formula1>
          <xm:sqref>G56:H56</xm:sqref>
        </x14:dataValidation>
        <x14:dataValidation type="list" allowBlank="1" showInputMessage="1" showErrorMessage="1" xr:uid="{00000000-0002-0000-0100-000004000000}">
          <x14:formula1>
            <xm:f>Lists!$J$2:$J$5</xm:f>
          </x14:formula1>
          <xm:sqref>C58:D58</xm:sqref>
        </x14:dataValidation>
        <x14:dataValidation type="list" allowBlank="1" showInputMessage="1" showErrorMessage="1" xr:uid="{00000000-0002-0000-0100-000005000000}">
          <x14:formula1>
            <xm:f>Lists!$D$8:$D$10</xm:f>
          </x14:formula1>
          <xm:sqref>H61</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147</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76</v>
      </c>
      <c r="C1" s="1"/>
      <c r="D1" s="1" t="s">
        <v>148</v>
      </c>
      <c r="E1" s="1"/>
      <c r="F1" s="1" t="s">
        <v>149</v>
      </c>
      <c r="G1" s="1"/>
      <c r="H1" s="119"/>
      <c r="I1" s="1"/>
      <c r="J1" s="1"/>
      <c r="K1" s="1"/>
      <c r="L1" s="1"/>
      <c r="M1" s="1" t="s">
        <v>150</v>
      </c>
      <c r="N1" s="1"/>
      <c r="O1" s="1" t="s">
        <v>151</v>
      </c>
    </row>
    <row r="2" spans="2:15" ht="15" customHeight="1" x14ac:dyDescent="0.25">
      <c r="B2" t="s">
        <v>152</v>
      </c>
      <c r="D2" t="s">
        <v>82</v>
      </c>
      <c r="F2" t="s">
        <v>79</v>
      </c>
      <c r="H2" s="2" t="s">
        <v>153</v>
      </c>
      <c r="J2" t="s">
        <v>154</v>
      </c>
      <c r="M2" t="s">
        <v>155</v>
      </c>
      <c r="O2" t="s">
        <v>24</v>
      </c>
    </row>
    <row r="3" spans="2:15" ht="15" customHeight="1" x14ac:dyDescent="0.25">
      <c r="B3" t="s">
        <v>156</v>
      </c>
      <c r="D3" t="s">
        <v>157</v>
      </c>
      <c r="F3" t="s">
        <v>26</v>
      </c>
      <c r="H3" s="3" t="s">
        <v>158</v>
      </c>
      <c r="J3" t="s">
        <v>84</v>
      </c>
      <c r="M3" t="str">
        <f ca="1">TEXT(DATE(YEAR(TODAY()), MONTH(TODAY())+ROWS($M$2:$M3)-1, DAY(1)), "MMMM YYYY")</f>
        <v>July 2024</v>
      </c>
      <c r="O3" t="s">
        <v>159</v>
      </c>
    </row>
    <row r="4" spans="2:15" ht="15" customHeight="1" x14ac:dyDescent="0.25">
      <c r="B4" t="s">
        <v>160</v>
      </c>
      <c r="F4" t="s">
        <v>161</v>
      </c>
      <c r="H4" s="2" t="s">
        <v>162</v>
      </c>
      <c r="J4" t="s">
        <v>163</v>
      </c>
      <c r="M4" t="str">
        <f ca="1">TEXT(DATE(YEAR(TODAY()), MONTH(TODAY())+ROWS($M$2:$M4)-1, DAY(1)), "MMMM YYYY")</f>
        <v>August 2024</v>
      </c>
    </row>
    <row r="5" spans="2:15" ht="15" customHeight="1" x14ac:dyDescent="0.25">
      <c r="B5" t="s">
        <v>164</v>
      </c>
      <c r="H5" s="3" t="s">
        <v>165</v>
      </c>
      <c r="J5" t="s">
        <v>161</v>
      </c>
      <c r="M5" t="str">
        <f ca="1">TEXT(DATE(YEAR(TODAY()), MONTH(TODAY())+ROWS($M$2:$M5)-1, DAY(1)), "MMMM YYYY")</f>
        <v>September 2024</v>
      </c>
    </row>
    <row r="6" spans="2:15" ht="15" customHeight="1" x14ac:dyDescent="0.25">
      <c r="B6" t="s">
        <v>166</v>
      </c>
      <c r="H6" s="2" t="s">
        <v>167</v>
      </c>
      <c r="M6" t="str">
        <f ca="1">TEXT(DATE(YEAR(TODAY()), MONTH(TODAY())+ROWS($M$2:$M6)-1, DAY(1)), "MMMM YYYY")</f>
        <v>October 2024</v>
      </c>
    </row>
    <row r="7" spans="2:15" ht="15" customHeight="1" x14ac:dyDescent="0.25">
      <c r="B7" t="s">
        <v>168</v>
      </c>
      <c r="H7" s="3" t="s">
        <v>169</v>
      </c>
      <c r="M7" t="str">
        <f ca="1">TEXT(DATE(YEAR(TODAY()), MONTH(TODAY())+ROWS($M$2:$M7)-1, DAY(1)), "MMMM YYYY")</f>
        <v>November 2024</v>
      </c>
    </row>
    <row r="8" spans="2:15" ht="15" customHeight="1" x14ac:dyDescent="0.25">
      <c r="B8" t="s">
        <v>170</v>
      </c>
      <c r="D8" t="s">
        <v>171</v>
      </c>
      <c r="H8" s="2" t="s">
        <v>172</v>
      </c>
      <c r="M8" t="str">
        <f ca="1">TEXT(DATE(YEAR(TODAY()), MONTH(TODAY())+ROWS($M$2:$M8)-1, DAY(1)), "MMMM YYYY")</f>
        <v>December 2024</v>
      </c>
    </row>
    <row r="9" spans="2:15" ht="15" customHeight="1" x14ac:dyDescent="0.25">
      <c r="B9" t="s">
        <v>77</v>
      </c>
      <c r="D9" t="s">
        <v>173</v>
      </c>
      <c r="H9" s="3" t="s">
        <v>174</v>
      </c>
      <c r="M9" t="str">
        <f ca="1">TEXT(DATE(YEAR(TODAY()), MONTH(TODAY())+ROWS($M$2:$M9)-1, DAY(1)), "MMMM YYYY")</f>
        <v>January 2025</v>
      </c>
    </row>
    <row r="10" spans="2:15" ht="15" customHeight="1" x14ac:dyDescent="0.25">
      <c r="B10" t="s">
        <v>175</v>
      </c>
      <c r="D10" t="s">
        <v>90</v>
      </c>
      <c r="H10" s="2" t="s">
        <v>176</v>
      </c>
      <c r="M10" t="str">
        <f ca="1">TEXT(DATE(YEAR(TODAY()), MONTH(TODAY())+ROWS($M$2:$M10)-1, DAY(1)), "MMMM YYYY")</f>
        <v>February 2025</v>
      </c>
    </row>
    <row r="11" spans="2:15" ht="15" customHeight="1" x14ac:dyDescent="0.25">
      <c r="B11" t="s">
        <v>177</v>
      </c>
      <c r="H11" s="3" t="s">
        <v>178</v>
      </c>
      <c r="M11" t="str">
        <f ca="1">TEXT(DATE(YEAR(TODAY()), MONTH(TODAY())+ROWS($M$2:$M11)-1, DAY(1)), "MMMM YYYY")</f>
        <v>March 2025</v>
      </c>
    </row>
    <row r="12" spans="2:15" ht="15" customHeight="1" x14ac:dyDescent="0.25">
      <c r="B12" t="s">
        <v>179</v>
      </c>
      <c r="H12" s="3" t="s">
        <v>180</v>
      </c>
      <c r="M12" t="str">
        <f ca="1">TEXT(DATE(YEAR(TODAY()), MONTH(TODAY())+ROWS($M$2:$M12)-1, DAY(1)), "MMMM YYYY")</f>
        <v>April 2025</v>
      </c>
    </row>
    <row r="13" spans="2:15" ht="15" customHeight="1" x14ac:dyDescent="0.25">
      <c r="B13" t="s">
        <v>181</v>
      </c>
      <c r="H13" s="3" t="s">
        <v>182</v>
      </c>
      <c r="M13" t="str">
        <f ca="1">TEXT(DATE(YEAR(TODAY()), MONTH(TODAY())+ROWS($M$2:$M13)-1, DAY(1)), "MMMM YYYY")</f>
        <v>May 2025</v>
      </c>
    </row>
    <row r="14" spans="2:15" ht="15" customHeight="1" x14ac:dyDescent="0.25">
      <c r="B14" t="s">
        <v>183</v>
      </c>
      <c r="H14" s="2" t="s">
        <v>184</v>
      </c>
      <c r="M14" t="str">
        <f ca="1">TEXT(DATE(YEAR(TODAY()), MONTH(TODAY())+ROWS($M$2:$M14)-1, DAY(1)), "MMMM YYYY")</f>
        <v>June 2025</v>
      </c>
    </row>
    <row r="15" spans="2:15" ht="15" customHeight="1" x14ac:dyDescent="0.25">
      <c r="B15" t="s">
        <v>185</v>
      </c>
      <c r="H15" s="3" t="s">
        <v>186</v>
      </c>
      <c r="M15" t="str">
        <f ca="1">TEXT(DATE(YEAR(TODAY()), MONTH(TODAY())+ROWS($M$2:$M15)-1, DAY(1)), "MMMM YYYY")</f>
        <v>July 2025</v>
      </c>
    </row>
    <row r="16" spans="2:15" ht="15" customHeight="1" x14ac:dyDescent="0.25">
      <c r="B16" t="s">
        <v>187</v>
      </c>
      <c r="H16" s="2" t="s">
        <v>188</v>
      </c>
      <c r="M16" t="str">
        <f ca="1">TEXT(DATE(YEAR(TODAY()), MONTH(TODAY())+ROWS($M$2:$M16)-1, DAY(1)), "MMMM YYYY")</f>
        <v>August 2025</v>
      </c>
    </row>
    <row r="17" spans="2:13" ht="15" customHeight="1" x14ac:dyDescent="0.25">
      <c r="B17" t="s">
        <v>189</v>
      </c>
      <c r="H17" s="3" t="s">
        <v>190</v>
      </c>
      <c r="M17" t="str">
        <f ca="1">TEXT(DATE(YEAR(TODAY()), MONTH(TODAY())+ROWS($M$2:$M17)-1, DAY(1)), "MMMM YYYY")</f>
        <v>September 2025</v>
      </c>
    </row>
    <row r="18" spans="2:13" ht="15" customHeight="1" x14ac:dyDescent="0.25">
      <c r="B18" t="s">
        <v>191</v>
      </c>
      <c r="H18" s="2" t="s">
        <v>192</v>
      </c>
      <c r="M18" t="str">
        <f ca="1">TEXT(DATE(YEAR(TODAY()), MONTH(TODAY())+ROWS($M$2:$M18)-1, DAY(1)), "MMMM YYYY")</f>
        <v>October 2025</v>
      </c>
    </row>
    <row r="19" spans="2:13" ht="15" customHeight="1" x14ac:dyDescent="0.25">
      <c r="B19" t="s">
        <v>193</v>
      </c>
      <c r="H19" s="3" t="s">
        <v>194</v>
      </c>
      <c r="M19" t="str">
        <f ca="1">TEXT(DATE(YEAR(TODAY()), MONTH(TODAY())+ROWS($M$2:$M19)-1, DAY(1)), "MMMM YYYY")</f>
        <v>November 2025</v>
      </c>
    </row>
    <row r="20" spans="2:13" ht="15" customHeight="1" x14ac:dyDescent="0.25">
      <c r="B20" t="s">
        <v>195</v>
      </c>
      <c r="H20" s="2" t="s">
        <v>196</v>
      </c>
      <c r="M20" t="str">
        <f ca="1">TEXT(DATE(YEAR(TODAY()), MONTH(TODAY())+ROWS($M$2:$M20)-1, DAY(1)), "MMMM YYYY")</f>
        <v>December 2025</v>
      </c>
    </row>
    <row r="21" spans="2:13" ht="15" customHeight="1" x14ac:dyDescent="0.25">
      <c r="B21" t="s">
        <v>197</v>
      </c>
      <c r="H21" s="3">
        <v>2022</v>
      </c>
      <c r="M21" t="str">
        <f ca="1">TEXT(DATE(YEAR(TODAY()), MONTH(TODAY())+ROWS($M$2:$M21)-1, DAY(1)), "MMMM YYYY")</f>
        <v>January 2026</v>
      </c>
    </row>
    <row r="22" spans="2:13" ht="15" customHeight="1" x14ac:dyDescent="0.25">
      <c r="B22" t="s">
        <v>198</v>
      </c>
      <c r="H22" s="2" t="s">
        <v>199</v>
      </c>
      <c r="M22" t="str">
        <f ca="1">TEXT(DATE(YEAR(TODAY()), MONTH(TODAY())+ROWS($M$2:$M22)-1, DAY(1)), "MMMM YYYY")</f>
        <v>February 2026</v>
      </c>
    </row>
    <row r="23" spans="2:13" ht="15" customHeight="1" x14ac:dyDescent="0.25">
      <c r="B23" t="s">
        <v>200</v>
      </c>
      <c r="H23" s="3">
        <v>2024</v>
      </c>
      <c r="M23" t="str">
        <f ca="1">TEXT(DATE(YEAR(TODAY()), MONTH(TODAY())+ROWS($M$2:$M23)-1, DAY(1)), "MMMM YYYY")</f>
        <v>March 2026</v>
      </c>
    </row>
    <row r="24" spans="2:13" ht="15" customHeight="1" x14ac:dyDescent="0.25">
      <c r="B24" t="s">
        <v>201</v>
      </c>
      <c r="M24" t="str">
        <f ca="1">TEXT(DATE(YEAR(TODAY()), MONTH(TODAY())+ROWS($M$2:$M24)-1, DAY(1)), "MMMM YYYY")</f>
        <v>April 2026</v>
      </c>
    </row>
    <row r="25" spans="2:13" ht="15" customHeight="1" x14ac:dyDescent="0.25">
      <c r="B25" t="s">
        <v>202</v>
      </c>
      <c r="H25" s="3"/>
      <c r="M25" t="str">
        <f ca="1">TEXT(DATE(YEAR(TODAY()), MONTH(TODAY())+ROWS($M$2:$M25)-1, DAY(1)), "MMMM YYYY")</f>
        <v>May 2026</v>
      </c>
    </row>
    <row r="26" spans="2:13" ht="15" customHeight="1" x14ac:dyDescent="0.25">
      <c r="B26" t="s">
        <v>203</v>
      </c>
      <c r="M26" t="str">
        <f ca="1">TEXT(DATE(YEAR(TODAY()), MONTH(TODAY())+ROWS($M$2:$M26)-1, DAY(1)), "MMMM YYYY")</f>
        <v>June 2026</v>
      </c>
    </row>
    <row r="27" spans="2:13" ht="15" customHeight="1" x14ac:dyDescent="0.25">
      <c r="B27" t="s">
        <v>204</v>
      </c>
    </row>
    <row r="28" spans="2:13" ht="15" customHeight="1" x14ac:dyDescent="0.25">
      <c r="B28" t="s">
        <v>205</v>
      </c>
    </row>
    <row r="29" spans="2:13" ht="15" customHeight="1" x14ac:dyDescent="0.25">
      <c r="B29" t="s">
        <v>206</v>
      </c>
    </row>
    <row r="30" spans="2:13" ht="15" customHeight="1" x14ac:dyDescent="0.25">
      <c r="B30" t="s">
        <v>207</v>
      </c>
    </row>
    <row r="31" spans="2:13" ht="15" customHeight="1" x14ac:dyDescent="0.25">
      <c r="B31" t="s">
        <v>208</v>
      </c>
    </row>
    <row r="32" spans="2:13" ht="15" customHeight="1" x14ac:dyDescent="0.25">
      <c r="B32" t="s">
        <v>209</v>
      </c>
    </row>
    <row r="33" spans="2:2" ht="15" customHeight="1" x14ac:dyDescent="0.25">
      <c r="B33" t="s">
        <v>210</v>
      </c>
    </row>
    <row r="34" spans="2:2" ht="15" customHeight="1" x14ac:dyDescent="0.25">
      <c r="B34" t="s">
        <v>211</v>
      </c>
    </row>
    <row r="35" spans="2:2" ht="15" customHeight="1" x14ac:dyDescent="0.25">
      <c r="B35" t="s">
        <v>212</v>
      </c>
    </row>
    <row r="36" spans="2:2" ht="15" customHeight="1" x14ac:dyDescent="0.25">
      <c r="B36" t="s">
        <v>213</v>
      </c>
    </row>
    <row r="37" spans="2:2" ht="15" customHeight="1" x14ac:dyDescent="0.25">
      <c r="B37" t="s">
        <v>214</v>
      </c>
    </row>
    <row r="38" spans="2:2" ht="15" customHeight="1" x14ac:dyDescent="0.25">
      <c r="B38" t="s">
        <v>215</v>
      </c>
    </row>
    <row r="39" spans="2:2" ht="15" customHeight="1" x14ac:dyDescent="0.25">
      <c r="B39" t="s">
        <v>216</v>
      </c>
    </row>
    <row r="40" spans="2:2" ht="15" customHeight="1" x14ac:dyDescent="0.25">
      <c r="B40" t="s">
        <v>217</v>
      </c>
    </row>
    <row r="41" spans="2:2" ht="15" customHeight="1" x14ac:dyDescent="0.25">
      <c r="B41" t="s">
        <v>218</v>
      </c>
    </row>
    <row r="42" spans="2:2" ht="15" customHeight="1" x14ac:dyDescent="0.25">
      <c r="B42" t="s">
        <v>219</v>
      </c>
    </row>
    <row r="43" spans="2:2" ht="15" customHeight="1" x14ac:dyDescent="0.25">
      <c r="B43" t="s">
        <v>220</v>
      </c>
    </row>
    <row r="44" spans="2:2" ht="15" customHeight="1" x14ac:dyDescent="0.25">
      <c r="B44" t="s">
        <v>221</v>
      </c>
    </row>
    <row r="45" spans="2:2" ht="15" customHeight="1" x14ac:dyDescent="0.25">
      <c r="B45" t="s">
        <v>222</v>
      </c>
    </row>
    <row r="46" spans="2:2" ht="15" customHeight="1" x14ac:dyDescent="0.25">
      <c r="B46" t="s">
        <v>223</v>
      </c>
    </row>
    <row r="47" spans="2:2" ht="15" customHeight="1" x14ac:dyDescent="0.25">
      <c r="B47" t="s">
        <v>224</v>
      </c>
    </row>
    <row r="48" spans="2:2" ht="15" customHeight="1" x14ac:dyDescent="0.25">
      <c r="B48" t="s">
        <v>225</v>
      </c>
    </row>
    <row r="49" spans="2:2" ht="15" customHeight="1" x14ac:dyDescent="0.25">
      <c r="B49" t="s">
        <v>226</v>
      </c>
    </row>
    <row r="50" spans="2:2" ht="15" customHeight="1" x14ac:dyDescent="0.25">
      <c r="B50" t="s">
        <v>227</v>
      </c>
    </row>
    <row r="51" spans="2:2" ht="15" customHeight="1" x14ac:dyDescent="0.25">
      <c r="B51" t="s">
        <v>228</v>
      </c>
    </row>
    <row r="52" spans="2:2" ht="15" customHeight="1" x14ac:dyDescent="0.25">
      <c r="B52" t="s">
        <v>229</v>
      </c>
    </row>
    <row r="53" spans="2:2" ht="15" customHeight="1" x14ac:dyDescent="0.25">
      <c r="B53" t="s">
        <v>230</v>
      </c>
    </row>
    <row r="54" spans="2:2" ht="15" customHeight="1" x14ac:dyDescent="0.25">
      <c r="B54" t="s">
        <v>231</v>
      </c>
    </row>
    <row r="55" spans="2:2" ht="15" customHeight="1" x14ac:dyDescent="0.25">
      <c r="B55" t="s">
        <v>232</v>
      </c>
    </row>
    <row r="56" spans="2:2" ht="15" customHeight="1" x14ac:dyDescent="0.25">
      <c r="B56" t="s">
        <v>233</v>
      </c>
    </row>
    <row r="57" spans="2:2" ht="15" customHeight="1" x14ac:dyDescent="0.25">
      <c r="B57" t="s">
        <v>234</v>
      </c>
    </row>
    <row r="58" spans="2:2" ht="15" customHeight="1" x14ac:dyDescent="0.25">
      <c r="B58" t="s">
        <v>235</v>
      </c>
    </row>
    <row r="59" spans="2:2" ht="15" customHeight="1" x14ac:dyDescent="0.25">
      <c r="B59" t="s">
        <v>236</v>
      </c>
    </row>
    <row r="60" spans="2:2" ht="15" customHeight="1" x14ac:dyDescent="0.25">
      <c r="B60" t="s">
        <v>237</v>
      </c>
    </row>
    <row r="61" spans="2:2" ht="15" customHeight="1" x14ac:dyDescent="0.25">
      <c r="B61" t="s">
        <v>238</v>
      </c>
    </row>
    <row r="62" spans="2:2" ht="15" customHeight="1" x14ac:dyDescent="0.25">
      <c r="B62" t="s">
        <v>239</v>
      </c>
    </row>
    <row r="63" spans="2:2" ht="15" customHeight="1" x14ac:dyDescent="0.25">
      <c r="B63" t="s">
        <v>240</v>
      </c>
    </row>
    <row r="64" spans="2:2" ht="15" customHeight="1" x14ac:dyDescent="0.25">
      <c r="B64" t="s">
        <v>241</v>
      </c>
    </row>
    <row r="65" spans="2:2" ht="15" customHeight="1" x14ac:dyDescent="0.25">
      <c r="B65" t="s">
        <v>242</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868e0d-cf9a-4097-a199-37662d9ddf17">
      <Terms xmlns="http://schemas.microsoft.com/office/infopath/2007/PartnerControls"/>
    </lcf76f155ced4ddcb4097134ff3c332f>
    <TaxCatchAll xmlns="5d0812f2-0b79-4021-b666-060c47026ee1" xsi:nil="true"/>
    <SharedWithUsers xmlns="5d0812f2-0b79-4021-b666-060c47026ee1">
      <UserInfo>
        <DisplayName>Chad Stiteler</DisplayName>
        <AccountId>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47F90EC3103A418793A36D7F1E4C70" ma:contentTypeVersion="16" ma:contentTypeDescription="Create a new document." ma:contentTypeScope="" ma:versionID="d304f159b70431525f187dced95d5de9">
  <xsd:schema xmlns:xsd="http://www.w3.org/2001/XMLSchema" xmlns:xs="http://www.w3.org/2001/XMLSchema" xmlns:p="http://schemas.microsoft.com/office/2006/metadata/properties" xmlns:ns2="ff868e0d-cf9a-4097-a199-37662d9ddf17" xmlns:ns3="5d0812f2-0b79-4021-b666-060c47026ee1" targetNamespace="http://schemas.microsoft.com/office/2006/metadata/properties" ma:root="true" ma:fieldsID="40e228d764b1143df66f4ef868d5ec9d" ns2:_="" ns3:_="">
    <xsd:import namespace="ff868e0d-cf9a-4097-a199-37662d9ddf17"/>
    <xsd:import namespace="5d0812f2-0b79-4021-b666-060c47026e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68e0d-cf9a-4097-a199-37662d9ddf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ce0e93-e3fa-487f-96e3-49841eebfea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0812f2-0b79-4021-b666-060c47026e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eba039f-f0c4-4dc0-8bad-b000503d6b66}" ma:internalName="TaxCatchAll" ma:showField="CatchAllData" ma:web="5d0812f2-0b79-4021-b666-060c47026e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1B0287-E1F5-4EF6-A1EE-F1164F348EC5}">
  <ds:schemaRefs>
    <ds:schemaRef ds:uri="http://purl.org/dc/elements/1.1/"/>
    <ds:schemaRef ds:uri="http://schemas.microsoft.com/office/infopath/2007/PartnerControls"/>
    <ds:schemaRef ds:uri="ff868e0d-cf9a-4097-a199-37662d9ddf17"/>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dcmitype/"/>
    <ds:schemaRef ds:uri="5d0812f2-0b79-4021-b666-060c47026ee1"/>
    <ds:schemaRef ds:uri="http://purl.org/dc/terms/"/>
  </ds:schemaRefs>
</ds:datastoreItem>
</file>

<file path=customXml/itemProps2.xml><?xml version="1.0" encoding="utf-8"?>
<ds:datastoreItem xmlns:ds="http://schemas.openxmlformats.org/officeDocument/2006/customXml" ds:itemID="{179EBD42-A204-47BE-8784-4BC16172E48A}">
  <ds:schemaRefs>
    <ds:schemaRef ds:uri="http://schemas.microsoft.com/sharepoint/v3/contenttype/forms"/>
  </ds:schemaRefs>
</ds:datastoreItem>
</file>

<file path=customXml/itemProps3.xml><?xml version="1.0" encoding="utf-8"?>
<ds:datastoreItem xmlns:ds="http://schemas.openxmlformats.org/officeDocument/2006/customXml" ds:itemID="{36F7E5AF-9600-4FC3-A145-3690BE6F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68e0d-cf9a-4097-a199-37662d9ddf17"/>
    <ds:schemaRef ds:uri="5d0812f2-0b79-4021-b666-060c47026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Financial Management;Christine Thomas</dc:creator>
  <cp:keywords/>
  <dc:description/>
  <cp:lastModifiedBy>Cheryl Bivens</cp:lastModifiedBy>
  <cp:revision/>
  <dcterms:created xsi:type="dcterms:W3CDTF">2012-08-29T14:59:47Z</dcterms:created>
  <dcterms:modified xsi:type="dcterms:W3CDTF">2024-06-18T21:39:55Z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0x010100A747F90EC3103A418793A36D7F1E4C70</vt:lpwstr>
  </property>
  <property fmtid="{D5CDD505-2E9C-101B-9397-08002B2CF9AE}" pid="3" name="MediaServiceImageTags">
    <vt:lpwstr/>
  </property>
</Properties>
</file>