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 #2\"/>
    </mc:Choice>
  </mc:AlternateContent>
  <xr:revisionPtr revIDLastSave="0" documentId="13_ncr:1_{722C01B6-A4C5-48BC-86DA-930DB870380A}"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workbook>
</file>

<file path=xl/calcChain.xml><?xml version="1.0" encoding="utf-8"?>
<calcChain xmlns="http://schemas.openxmlformats.org/spreadsheetml/2006/main">
  <c r="F63" i="3" l="1"/>
  <c r="F62" i="3"/>
  <c r="F83" i="3" l="1"/>
  <c r="F82" i="3"/>
  <c r="E82" i="3"/>
  <c r="E83" i="3" s="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H59" i="3" l="1"/>
  <c r="B96" i="3"/>
  <c r="B95" i="3"/>
  <c r="G74" i="3" l="1"/>
  <c r="G56" i="3"/>
  <c r="F91" i="3" l="1"/>
  <c r="F97" i="3" s="1"/>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105" i="3"/>
  <c r="G63" i="3"/>
  <c r="H62" i="3" l="1"/>
  <c r="H63" i="3"/>
  <c r="F105" i="3"/>
</calcChain>
</file>

<file path=xl/sharedStrings.xml><?xml version="1.0" encoding="utf-8"?>
<sst xmlns="http://schemas.openxmlformats.org/spreadsheetml/2006/main" count="247" uniqueCount="225">
  <si>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</si>
  <si>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</si>
  <si>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</si>
  <si>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</si>
  <si>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</si>
  <si>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</si>
  <si>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</si>
  <si>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</si>
  <si>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</si>
  <si>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</si>
  <si>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</si>
  <si>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</si>
  <si>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</si>
  <si>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</si>
  <si>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</si>
  <si>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</si>
  <si>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</si>
  <si>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</si>
  <si>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</si>
  <si>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</si>
  <si>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</si>
  <si>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</si>
  <si>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</si>
  <si>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</si>
  <si>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</si>
  <si>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</si>
  <si>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</si>
  <si>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</si>
  <si>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</si>
  <si>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</si>
  <si>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</si>
  <si>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</si>
  <si>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</si>
  <si>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</si>
  <si>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</si>
  <si>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</si>
  <si>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</si>
  <si>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</si>
  <si>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</si>
  <si>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</si>
  <si>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</si>
  <si>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</si>
  <si>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</si>
  <si>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</si>
  <si>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</si>
  <si>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</si>
  <si>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</si>
  <si>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</si>
  <si>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</si>
  <si>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</si>
  <si>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</si>
  <si>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</si>
  <si>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</si>
  <si>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</si>
  <si>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</si>
  <si>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</si>
  <si>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</si>
  <si>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</si>
  <si>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</si>
  <si>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</si>
  <si>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</si>
  <si>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</si>
  <si>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</si>
  <si>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</si>
  <si>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</si>
  <si>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</si>
  <si>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</si>
  <si>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</si>
  <si>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</si>
  <si>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</si>
  <si>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</si>
  <si>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</si>
  <si>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</si>
  <si>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</si>
  <si>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</si>
  <si>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</si>
  <si>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</si>
  <si>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</si>
  <si>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</si>
  <si>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</si>
  <si>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</si>
  <si>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</si>
  <si>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</si>
  <si>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</si>
  <si>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</si>
  <si>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</si>
  <si>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</si>
  <si>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</si>
  <si>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</si>
  <si>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</si>
  <si>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</si>
  <si>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</si>
  <si>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</si>
  <si>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</si>
  <si>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</si>
  <si>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</si>
  <si>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</si>
  <si>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</si>
  <si>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</si>
  <si>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</si>
  <si>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</si>
  <si>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</si>
  <si>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</si>
  <si>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</si>
  <si>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</si>
  <si>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</si>
  <si>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</si>
  <si>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</si>
  <si>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</si>
  <si>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</si>
  <si>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</si>
  <si>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</si>
  <si>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</si>
  <si>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</si>
  <si>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</si>
  <si>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</si>
  <si>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</si>
  <si>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</si>
  <si>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</si>
  <si>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</si>
  <si>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</si>
  <si>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</si>
  <si>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</si>
  <si>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</si>
  <si>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</si>
  <si>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</si>
  <si>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</si>
  <si>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</si>
  <si>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</si>
  <si>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</si>
  <si>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</si>
  <si>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</si>
  <si>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</si>
  <si>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</si>
  <si>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</si>
  <si>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</si>
  <si>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</si>
  <si>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</si>
  <si>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</si>
  <si>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</si>
  <si>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</si>
  <si>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</si>
  <si>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</si>
  <si>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</si>
  <si>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</si>
  <si>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</si>
  <si>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</si>
  <si>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</si>
  <si>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</si>
  <si>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</si>
  <si>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</si>
  <si>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</si>
  <si>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</si>
  <si>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</si>
  <si>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</si>
  <si>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</si>
  <si>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</si>
  <si>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</si>
  <si>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</si>
  <si>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</si>
  <si>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</si>
  <si>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</si>
  <si>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</si>
  <si>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</si>
  <si>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</si>
  <si>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</si>
  <si>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</si>
  <si>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</si>
  <si>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</si>
  <si>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</si>
  <si>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</si>
  <si>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</si>
  <si>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</si>
  <si>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</si>
  <si>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</si>
  <si>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</si>
  <si>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</si>
  <si>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</si>
  <si>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</si>
  <si>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</si>
  <si>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</si>
  <si>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</si>
  <si>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</si>
  <si>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</si>
  <si>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</si>
  <si>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</si>
  <si>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</si>
  <si>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</si>
  <si>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</si>
  <si>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</si>
  <si>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</si>
  <si>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</si>
  <si>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</si>
  <si>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</si>
  <si>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</si>
  <si>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</si>
  <si>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</si>
  <si>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</si>
  <si>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</si>
  <si>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</si>
  <si>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</si>
  <si>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</si>
  <si>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</si>
  <si>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</si>
  <si>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</si>
  <si>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</si>
  <si>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</si>
  <si>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</si>
  <si>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</si>
  <si>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</si>
  <si>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</si>
  <si>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</si>
  <si>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</si>
  <si>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Olympic College Innovation and Technology Learning</t>
  </si>
  <si>
    <t>A08</t>
  </si>
  <si>
    <t>Future</t>
  </si>
  <si>
    <t>Miller Hull PDR</t>
  </si>
  <si>
    <t>June 2024</t>
  </si>
  <si>
    <t>Brent Palmason</t>
  </si>
  <si>
    <t>360-475-7121</t>
  </si>
  <si>
    <t>bpalmason@olympic.edu</t>
  </si>
  <si>
    <t>Actual SWL billing</t>
  </si>
  <si>
    <t>The plan is for an approximately 30,000 square foot innovation and technology center. A two story building designed to support 23 faculty/staff and 258 students at peak occupancy. The ITLC building will provide state of the art labs for computer information systems, computer science, cybersecurity, digital media arts and water flow research engineering programs. Included will be classrooms, labs, offices and support areas for students.</t>
  </si>
  <si>
    <t>Schematic design was completed on 4/25/24. The value engineering report was completed 5/20/24. An pre-design amendment with updated programming, building size and budget estimates will be submitted to SBCTC and OFM before the end of June, 2024. Our schedule intent is to submit for permit before the end of 2024 with an expected permit review time of one year. The project would bid in January 2026 with construction start in April 2026. Construction would through December 2027 with occupancy in early 2028.</t>
  </si>
  <si>
    <t>Wa Arts Commission - June 2024: held initial conversations, waiting for go-ahead.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</si>
</sst>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7" fontId="0" fillId="0" borderId="10" xfId="0" applyNumberForma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Schematic design report image concept</a:t>
          </a:r>
        </a:p>
        <a:p>
          <a:pPr algn="ctr"/>
          <a:endParaRPr lang="en-US" sz="1100" b="1">
            <a:solidFill>
              <a:schemeClr val="bg1"/>
            </a:solidFill>
          </a:endParaRPr>
        </a:p>
      </xdr:txBody>
    </xdr:sp>
    <xdr:clientData fLocksWithSheet="0"/>
  </xdr:twoCellAnchor>
  <xdr:twoCellAnchor>
    <xdr:from>
      <xdr:col>9</xdr:col>
      <xdr:colOff>600075</xdr:colOff>
      <xdr:row>6</xdr:row>
      <xdr:rowOff>163279</xdr:rowOff>
    </xdr:from>
    <xdr:to>
      <xdr:col>16</xdr:col>
      <xdr:colOff>237259</xdr:colOff>
      <xdr:row>18</xdr:row>
      <xdr:rowOff>76748</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86450" y="1230079"/>
          <a:ext cx="3904384" cy="219946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design</a:t>
          </a:r>
          <a:r>
            <a:rPr lang="en-US" sz="1100" b="1" baseline="0">
              <a:solidFill>
                <a:schemeClr val="bg1"/>
              </a:solidFill>
            </a:rPr>
            <a:t> concept</a:t>
          </a:r>
        </a:p>
        <a:p>
          <a:pPr algn="ctr"/>
          <a:endParaRPr lang="en-US" sz="1100" b="1">
            <a:solidFill>
              <a:schemeClr val="bg1"/>
            </a:solidFill>
          </a:endParaRPr>
        </a:p>
      </xdr:txBody>
    </xdr:sp>
    <xdr:clientData fLocksWithSheet="0"/>
  </xdr:twoCellAnchor>
  <xdr:twoCellAnchor>
    <xdr:from>
      <xdr:col>0</xdr:col>
      <xdr:colOff>600075</xdr:colOff>
      <xdr:row>28</xdr:row>
      <xdr:rowOff>85922</xdr:rowOff>
    </xdr:from>
    <xdr:to>
      <xdr:col>7</xdr:col>
      <xdr:colOff>237259</xdr:colOff>
      <xdr:row>38</xdr:row>
      <xdr:rowOff>154105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600075" y="5343722"/>
          <a:ext cx="3904384" cy="197318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2nd floor plan</a:t>
          </a:r>
          <a:endParaRPr lang="en-US" sz="1100" b="1">
            <a:solidFill>
              <a:schemeClr val="bg1"/>
            </a:solidFill>
          </a:endParaRPr>
        </a:p>
      </xdr:txBody>
    </xdr:sp>
    <xdr:clientData fLocksWithSheet="0"/>
  </xdr:twoCellAnchor>
  <xdr:twoCellAnchor>
    <xdr:from>
      <xdr:col>9</xdr:col>
      <xdr:colOff>600075</xdr:colOff>
      <xdr:row>27</xdr:row>
      <xdr:rowOff>163954</xdr:rowOff>
    </xdr:from>
    <xdr:to>
      <xdr:col>16</xdr:col>
      <xdr:colOff>237259</xdr:colOff>
      <xdr:row>39</xdr:row>
      <xdr:rowOff>76074</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5886450" y="5231254"/>
          <a:ext cx="3904384" cy="219812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Maker space concept</a:t>
          </a:r>
        </a:p>
        <a:p>
          <a:pPr algn="ctr"/>
          <a:endParaRPr lang="en-US" sz="1100" b="1">
            <a:solidFill>
              <a:schemeClr val="bg1"/>
            </a:solidFill>
          </a:endParaRPr>
        </a:p>
      </xdr:txBody>
    </xdr:sp>
    <xdr:clientData fLocksWithSheet="0"/>
  </xdr:twoCellAnchor>
  <xdr:twoCellAnchor>
    <xdr:from>
      <xdr:col>2</xdr:col>
      <xdr:colOff>106553</xdr:colOff>
      <xdr:row>47</xdr:row>
      <xdr:rowOff>70473</xdr:rowOff>
    </xdr:from>
    <xdr:to>
      <xdr:col>6</xdr:col>
      <xdr:colOff>121181</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325753" y="8947773"/>
          <a:ext cx="2453028"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49</xdr:row>
      <xdr:rowOff>38888</xdr:rowOff>
    </xdr:from>
    <xdr:to>
      <xdr:col>16</xdr:col>
      <xdr:colOff>237259</xdr:colOff>
      <xdr:row>60</xdr:row>
      <xdr:rowOff>10640</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886450" y="9297188"/>
          <a:ext cx="3904384" cy="206725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21386</xdr:colOff>
      <xdr:row>4</xdr:row>
      <xdr:rowOff>47626</xdr:rowOff>
    </xdr:from>
    <xdr:to>
      <xdr:col>9</xdr:col>
      <xdr:colOff>75814</xdr:colOff>
      <xdr:row>19</xdr:row>
      <xdr:rowOff>180976</xdr:rowOff>
    </xdr:to>
    <xdr:pic>
      <xdr:nvPicPr>
        <xdr:cNvPr id="3" name="Picture 2">
          <a:extLst>
            <a:ext uri="{FF2B5EF4-FFF2-40B4-BE49-F238E27FC236}">
              <a16:creationId xmlns:a16="http://schemas.microsoft.com/office/drawing/2014/main" id="{4CCDDA83-2C81-2867-6C37-F5B774A9DBC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21386" y="733426"/>
          <a:ext cx="5340803"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palmason@olympi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93" zoomScale="90" zoomScaleNormal="90" workbookViewId="0">
      <selection activeCell="B135" sqref="B135"/>
    </sheetView>
  </sheetViews>
  <sheetFormatPr defaultColWidth="9.140625" defaultRowHeight="15" x14ac:dyDescent="0.25"/>
  <cols>
    <col min="1" max="1" width="1.5703125" customWidth="1"/>
    <col min="2" max="2" width="35.42578125" customWidth="1"/>
    <col min="3" max="7" width="14.5703125" customWidth="1"/>
    <col min="8" max="8" width="17.5703125" customWidth="1"/>
    <col min="9" max="9" width="14.5703125" customWidth="1"/>
    <col min="10" max="10" width="1.5703125" customWidth="1"/>
  </cols>
  <sheetData>
    <row r="1" spans="1:13" ht="21.75" thickTop="1" x14ac:dyDescent="0.35">
      <c r="A1" s="54"/>
      <c r="B1" s="177" t="s">
        <v>57</v>
      </c>
      <c r="C1" s="177"/>
      <c r="D1" s="177"/>
      <c r="E1" s="177"/>
      <c r="F1" s="177"/>
      <c r="G1" s="177"/>
      <c r="H1" s="177"/>
      <c r="I1" s="177"/>
      <c r="J1" s="55"/>
    </row>
    <row r="2" spans="1:13" x14ac:dyDescent="0.25">
      <c r="A2" s="56"/>
      <c r="B2" s="129"/>
      <c r="C2" s="129"/>
      <c r="D2" s="129"/>
      <c r="E2" s="129" t="s">
        <v>209</v>
      </c>
      <c r="F2" s="129"/>
      <c r="G2" s="129"/>
      <c r="H2" s="129"/>
      <c r="I2" s="129"/>
      <c r="J2" s="57"/>
    </row>
    <row r="3" spans="1:13" ht="21" x14ac:dyDescent="0.35">
      <c r="A3" s="56"/>
      <c r="B3" s="178" t="s">
        <v>171</v>
      </c>
      <c r="C3" s="178"/>
      <c r="D3" s="178"/>
      <c r="E3" s="178"/>
      <c r="F3" s="178"/>
      <c r="G3" s="178"/>
      <c r="H3" s="178"/>
      <c r="I3" s="178"/>
      <c r="J3" s="57"/>
    </row>
    <row r="4" spans="1:13" ht="21" customHeight="1" x14ac:dyDescent="0.35">
      <c r="A4" s="58"/>
      <c r="B4" s="184" t="s">
        <v>217</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213</v>
      </c>
      <c r="D6" s="182"/>
      <c r="E6" s="182"/>
      <c r="F6" s="182"/>
      <c r="G6" s="182"/>
      <c r="H6" s="183"/>
      <c r="J6" s="61"/>
    </row>
    <row r="7" spans="1:13" s="1" customFormat="1" ht="15.75" thickBot="1" x14ac:dyDescent="0.3">
      <c r="A7" s="62"/>
      <c r="B7" s="63" t="s">
        <v>143</v>
      </c>
      <c r="C7" s="180">
        <v>40000103</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218</v>
      </c>
      <c r="D10" s="179"/>
      <c r="E10" s="179"/>
      <c r="F10" s="179"/>
      <c r="G10" s="179"/>
      <c r="H10" s="179"/>
      <c r="I10" s="66"/>
      <c r="J10" s="61"/>
    </row>
    <row r="11" spans="1:13" s="1" customFormat="1" x14ac:dyDescent="0.25">
      <c r="A11" s="60"/>
      <c r="B11" s="15" t="s">
        <v>63</v>
      </c>
      <c r="C11" s="185" t="s">
        <v>219</v>
      </c>
      <c r="D11" s="185"/>
      <c r="E11" s="185"/>
      <c r="F11" s="185"/>
      <c r="G11" s="185"/>
      <c r="H11" s="185"/>
      <c r="I11" s="66"/>
      <c r="J11" s="61"/>
    </row>
    <row r="12" spans="1:13" s="1" customFormat="1" x14ac:dyDescent="0.25">
      <c r="A12" s="60"/>
      <c r="B12" s="18" t="s">
        <v>64</v>
      </c>
      <c r="C12" s="186" t="s">
        <v>220</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222</v>
      </c>
      <c r="D16" s="190"/>
      <c r="E16" s="190"/>
      <c r="F16" s="190"/>
      <c r="G16" s="190"/>
      <c r="H16" s="190"/>
      <c r="I16" s="191"/>
      <c r="J16" s="57"/>
      <c r="M16" s="1"/>
    </row>
    <row r="17" spans="1:13" ht="15" customHeight="1" x14ac:dyDescent="0.25">
      <c r="A17" s="56"/>
      <c r="B17" s="201" t="s">
        <v>73</v>
      </c>
      <c r="C17" s="192"/>
      <c r="D17" s="193"/>
      <c r="E17" s="193"/>
      <c r="F17" s="193"/>
      <c r="G17" s="193"/>
      <c r="H17" s="193"/>
      <c r="I17" s="194"/>
      <c r="J17" s="57"/>
      <c r="M17" s="1"/>
    </row>
    <row r="18" spans="1:13" x14ac:dyDescent="0.25">
      <c r="A18" s="56"/>
      <c r="B18" s="201"/>
      <c r="C18" s="192"/>
      <c r="D18" s="193"/>
      <c r="E18" s="193"/>
      <c r="F18" s="193"/>
      <c r="G18" s="193"/>
      <c r="H18" s="193"/>
      <c r="I18" s="194"/>
      <c r="J18" s="57"/>
      <c r="M18" s="1"/>
    </row>
    <row r="19" spans="1:13" x14ac:dyDescent="0.25">
      <c r="A19" s="56"/>
      <c r="B19" s="201"/>
      <c r="C19" s="195"/>
      <c r="D19" s="196"/>
      <c r="E19" s="196"/>
      <c r="F19" s="196"/>
      <c r="G19" s="196"/>
      <c r="H19" s="196"/>
      <c r="I19" s="19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9" t="s">
        <v>223</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x14ac:dyDescent="0.25">
      <c r="A26" s="56"/>
      <c r="B26" s="187"/>
      <c r="C26" s="192"/>
      <c r="D26" s="193"/>
      <c r="E26" s="193"/>
      <c r="F26" s="193"/>
      <c r="G26" s="193"/>
      <c r="H26" s="193"/>
      <c r="I26" s="194"/>
      <c r="J26" s="57"/>
      <c r="M26" s="1"/>
    </row>
    <row r="27" spans="1:13"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3" t="s">
        <v>176</v>
      </c>
      <c r="D30" s="204"/>
      <c r="E30" s="204"/>
      <c r="F30" s="204"/>
      <c r="G30" s="204"/>
      <c r="H30" s="205"/>
      <c r="I30" s="206"/>
      <c r="J30" s="57"/>
      <c r="M30" s="1"/>
    </row>
    <row r="31" spans="1:13" ht="15" customHeight="1" x14ac:dyDescent="0.25">
      <c r="A31" s="56"/>
      <c r="B31" s="73"/>
      <c r="C31" s="203" t="s">
        <v>159</v>
      </c>
      <c r="D31" s="206"/>
      <c r="E31" s="203" t="s">
        <v>160</v>
      </c>
      <c r="F31" s="204"/>
      <c r="G31" s="204"/>
      <c r="H31" s="207" t="s">
        <v>1</v>
      </c>
      <c r="I31" s="209" t="s">
        <v>67</v>
      </c>
      <c r="J31" s="57"/>
      <c r="M31" s="1"/>
    </row>
    <row r="32" spans="1:13" s="1" customFormat="1" ht="30" x14ac:dyDescent="0.25">
      <c r="A32" s="60"/>
      <c r="B32" s="10" t="s">
        <v>156</v>
      </c>
      <c r="C32" s="74" t="s">
        <v>162</v>
      </c>
      <c r="D32" s="4" t="s">
        <v>210</v>
      </c>
      <c r="E32" s="4" t="s">
        <v>211</v>
      </c>
      <c r="F32" s="4" t="s">
        <v>212</v>
      </c>
      <c r="G32" s="5" t="s">
        <v>161</v>
      </c>
      <c r="H32" s="208"/>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268275</v>
      </c>
      <c r="D38" s="48">
        <f>SUM(D39:D42)</f>
        <v>304661</v>
      </c>
      <c r="E38" s="48">
        <f>SUM(E39:E42)</f>
        <v>1979064</v>
      </c>
      <c r="F38" s="48">
        <f>SUM(F39:F42)</f>
        <v>0</v>
      </c>
      <c r="G38" s="49">
        <f>SUM(G39:G42)</f>
        <v>0</v>
      </c>
      <c r="H38" s="50">
        <f>SUM(C38:G38)</f>
        <v>2552000</v>
      </c>
      <c r="I38" s="7"/>
      <c r="J38" s="57"/>
      <c r="M38" s="1"/>
    </row>
    <row r="39" spans="1:13" x14ac:dyDescent="0.25">
      <c r="A39" s="56"/>
      <c r="B39" s="8" t="s">
        <v>157</v>
      </c>
      <c r="C39" s="75">
        <v>268275</v>
      </c>
      <c r="D39" s="76">
        <v>304661</v>
      </c>
      <c r="E39" s="76">
        <f>2552000-D39-C39</f>
        <v>1979064</v>
      </c>
      <c r="F39" s="76"/>
      <c r="G39" s="77"/>
      <c r="H39" s="9">
        <f>SUM(C39:G39)</f>
        <v>2552000</v>
      </c>
      <c r="I39" s="78" t="s">
        <v>214</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0</v>
      </c>
      <c r="H43" s="50">
        <f>SUM(C43:G43)</f>
        <v>0</v>
      </c>
      <c r="I43" s="7"/>
      <c r="J43" s="57"/>
      <c r="M43" s="1"/>
    </row>
    <row r="44" spans="1:13" x14ac:dyDescent="0.25">
      <c r="A44" s="56"/>
      <c r="B44" s="8" t="s">
        <v>157</v>
      </c>
      <c r="C44" s="75"/>
      <c r="D44" s="76"/>
      <c r="E44" s="76"/>
      <c r="F44" s="76"/>
      <c r="G44" s="77"/>
      <c r="H44" s="9">
        <f>SUM(C44:G44)</f>
        <v>0</v>
      </c>
      <c r="I44" s="78" t="s">
        <v>215</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268275</v>
      </c>
      <c r="D48" s="51">
        <f>D33+D38+D43</f>
        <v>304661</v>
      </c>
      <c r="E48" s="51">
        <f>E33+E38+E43</f>
        <v>1979064</v>
      </c>
      <c r="F48" s="51">
        <f>F33+F38+F43</f>
        <v>0</v>
      </c>
      <c r="G48" s="52">
        <f>G33+G38+G43</f>
        <v>0</v>
      </c>
      <c r="H48" s="53">
        <f>SUM(C48:G48)</f>
        <v>2552000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4" t="s">
        <v>101</v>
      </c>
      <c r="D51" s="214"/>
      <c r="E51" s="213" t="s">
        <v>70</v>
      </c>
      <c r="F51" s="213"/>
      <c r="G51" s="218" t="s">
        <v>141</v>
      </c>
      <c r="H51" s="218"/>
      <c r="I51" s="16"/>
      <c r="J51" s="57"/>
      <c r="M51" s="1"/>
    </row>
    <row r="52" spans="1:13" x14ac:dyDescent="0.25">
      <c r="A52" s="56"/>
      <c r="B52" s="15" t="s">
        <v>192</v>
      </c>
      <c r="C52" s="215">
        <v>0</v>
      </c>
      <c r="D52" s="216"/>
      <c r="E52" t="s">
        <v>71</v>
      </c>
      <c r="G52" s="217" t="s">
        <v>138</v>
      </c>
      <c r="H52" s="217"/>
      <c r="I52" s="16"/>
      <c r="J52" s="57"/>
      <c r="M52" s="1"/>
    </row>
    <row r="53" spans="1:13" x14ac:dyDescent="0.25">
      <c r="A53" s="56"/>
      <c r="B53" s="18" t="s">
        <v>148</v>
      </c>
      <c r="C53" s="217" t="s">
        <v>55</v>
      </c>
      <c r="D53" s="217"/>
      <c r="E53" s="19" t="s">
        <v>72</v>
      </c>
      <c r="F53" s="19"/>
      <c r="G53" s="217" t="s">
        <v>138</v>
      </c>
      <c r="H53" s="217"/>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2" t="s">
        <v>177</v>
      </c>
      <c r="C56" s="202"/>
      <c r="D56" s="202"/>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21757</v>
      </c>
      <c r="F57" s="81">
        <v>21757</v>
      </c>
      <c r="G57" s="82"/>
      <c r="H57" s="114">
        <f>IF($H$56=Lists!$D$8, IFERROR(F57-E57, ""), IF($H$56=Lists!$D$9, IFERROR(G57-E57, ""), IFERROR(G57-F57, "")))</f>
        <v>-21757</v>
      </c>
      <c r="I57" s="83"/>
      <c r="J57" s="57"/>
      <c r="M57" s="1"/>
    </row>
    <row r="58" spans="1:13" x14ac:dyDescent="0.25">
      <c r="A58" s="56"/>
      <c r="B58" s="15" t="s">
        <v>42</v>
      </c>
      <c r="D58" s="16"/>
      <c r="E58" s="81">
        <v>14142</v>
      </c>
      <c r="F58" s="81">
        <v>14142</v>
      </c>
      <c r="G58" s="82"/>
      <c r="H58" s="114">
        <f>IF($H$56=Lists!$D$8, IFERROR(F58-E58, ""), IF($H$56=Lists!$D$9, IFERROR(G58-E58, ""), IFERROR(G58-F58, "")))</f>
        <v>-14142</v>
      </c>
      <c r="I58" s="83"/>
      <c r="J58" s="57"/>
      <c r="M58" s="1"/>
    </row>
    <row r="59" spans="1:13" x14ac:dyDescent="0.25">
      <c r="A59" s="56"/>
      <c r="B59" s="15" t="s">
        <v>43</v>
      </c>
      <c r="D59" s="16"/>
      <c r="E59" s="17">
        <f>IFERROR(E58/E57, "")</f>
        <v>0.64999770188904715</v>
      </c>
      <c r="F59" s="17">
        <f t="shared" ref="F59" si="3">IFERROR(F58/F57, "")</f>
        <v>0.64999770188904715</v>
      </c>
      <c r="G59" s="17"/>
      <c r="H59" s="115">
        <f t="shared" ref="H59" si="4">IFERROR(G59-F59, "")</f>
        <v>-0.64999770188904715</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775.22346830904996</v>
      </c>
      <c r="F62" s="21">
        <f>IFERROR(F91/F57, "")</f>
        <v>775.22346830904996</v>
      </c>
      <c r="G62" s="21"/>
      <c r="H62" s="117">
        <f>IF($H$56=Lists!$D$8, IFERROR(F62-E62, ""), IF($H$56=Lists!$D$9, IFERROR(G62-E62, ""), IFERROR(G62-F62, "")))</f>
        <v>-775.22346830904996</v>
      </c>
      <c r="I62" s="86"/>
      <c r="J62" s="57"/>
      <c r="K62" s="87"/>
    </row>
    <row r="63" spans="1:13" x14ac:dyDescent="0.25">
      <c r="A63" s="56"/>
      <c r="B63" s="18" t="s">
        <v>163</v>
      </c>
      <c r="C63" s="19"/>
      <c r="D63" s="20"/>
      <c r="E63" s="22">
        <f>IFERROR(E97/E57, "")</f>
        <v>888.91961207887118</v>
      </c>
      <c r="F63" s="22">
        <f>IFERROR(F97/F57, "")</f>
        <v>888.91961207887118</v>
      </c>
      <c r="G63" s="22" t="str">
        <f>IFERROR(G97/G57, "")</f>
        <v/>
      </c>
      <c r="H63" s="117" t="str">
        <f>IF($H$56=Lists!$D$8, IFERROR(F63-E63, ""), IF($H$56=Lists!$D$9, IFERROR(G63-E63, ""), IFERROR(G63-F63, "")))</f>
        <v/>
      </c>
      <c r="I63" s="88"/>
      <c r="J63" s="57"/>
      <c r="K63" s="87"/>
    </row>
    <row r="64" spans="1:13" x14ac:dyDescent="0.25">
      <c r="A64" s="56"/>
      <c r="B64" s="219" t="s">
        <v>5</v>
      </c>
      <c r="C64" s="220"/>
      <c r="D64" s="220"/>
      <c r="E64" s="220"/>
      <c r="F64" s="220"/>
      <c r="G64" s="220"/>
      <c r="H64" s="220"/>
      <c r="I64" s="221"/>
      <c r="J64" s="57"/>
    </row>
    <row r="65" spans="1:10" x14ac:dyDescent="0.25">
      <c r="A65" s="56"/>
      <c r="B65" s="12" t="s">
        <v>6</v>
      </c>
      <c r="C65" s="13"/>
      <c r="D65" s="14"/>
      <c r="E65" s="89">
        <v>44743</v>
      </c>
      <c r="F65" s="89">
        <v>44743</v>
      </c>
      <c r="G65" s="90">
        <v>44827</v>
      </c>
      <c r="H65" s="114" t="str">
        <f>IF(SUM(E65:G65)=0, "", IF($H$56=Lists!$D$8, IFERROR(MROUND(CONVERT(F65-E65,"day","yr")*12, 0.5)&amp;" mo.", ""), IF($H$56=Lists!$D$9, IFERROR(MROUND(CONVERT(G65-E65,"day","yr")*12, 0.5)&amp;" mo.", ""), IFERROR(MROUND(CONVERT(G65-F65,"day","yr")*12, 0.5)&amp;" mo.", ""))))</f>
        <v>3 mo.</v>
      </c>
      <c r="I65" s="83"/>
      <c r="J65" s="57"/>
    </row>
    <row r="66" spans="1:10" x14ac:dyDescent="0.25">
      <c r="A66" s="56"/>
      <c r="B66" s="15" t="s">
        <v>7</v>
      </c>
      <c r="D66" s="16"/>
      <c r="E66" s="89">
        <v>44774</v>
      </c>
      <c r="F66" s="89">
        <v>44774</v>
      </c>
      <c r="G66" s="90">
        <v>44866</v>
      </c>
      <c r="H66" s="114" t="str">
        <f>IF(SUM(E66:G66)=0, "", IF($H$56=Lists!$D$8, IFERROR(MROUND(CONVERT(F66-E66,"day","yr")*12, 0.5)&amp;" mo.", ""), IF($H$56=Lists!$D$9, IFERROR(MROUND(CONVERT(G66-E66,"day","yr")*12, 0.5)&amp;" mo.", ""), IFERROR(MROUND(CONVERT(G66-F66,"day","yr")*12, 0.5)&amp;" mo.", ""))))</f>
        <v>3 mo.</v>
      </c>
      <c r="I66" s="83"/>
      <c r="J66" s="57"/>
    </row>
    <row r="67" spans="1:10" x14ac:dyDescent="0.25">
      <c r="A67" s="56"/>
      <c r="B67" s="15" t="s">
        <v>164</v>
      </c>
      <c r="D67" s="16"/>
      <c r="E67" s="89"/>
      <c r="F67" s="89"/>
      <c r="G67" s="90">
        <v>46054</v>
      </c>
      <c r="H67" s="114" t="str">
        <f>IF(SUM(E67:G67)=0, "", IF($H$56=Lists!$D$8, IFERROR(MROUND(CONVERT(F67-E67,"day","yr")*12, 0.5)&amp;" mo.", ""), IF($H$56=Lists!$D$9, IFERROR(MROUND(CONVERT(G67-E67,"day","yr")*12, 0.5)&amp;" mo.", ""), IFERROR(MROUND(CONVERT(G67-F67,"day","yr")*12, 0.5)&amp;" mo.", ""))))</f>
        <v>1513 mo.</v>
      </c>
      <c r="I67" s="130"/>
      <c r="J67" s="57"/>
    </row>
    <row r="68" spans="1:10" x14ac:dyDescent="0.25">
      <c r="A68" s="56"/>
      <c r="B68" s="15" t="s">
        <v>66</v>
      </c>
      <c r="D68" s="16"/>
      <c r="E68" s="89">
        <v>45505</v>
      </c>
      <c r="F68" s="89">
        <v>45505</v>
      </c>
      <c r="G68" s="90">
        <v>46113</v>
      </c>
      <c r="H68" s="114" t="str">
        <f>IF(SUM(E68:G68)=0, "", IF($H$56=Lists!$D$8, IFERROR(MROUND(CONVERT(F68-E68,"day","yr")*12, 0.5)&amp;" mo.", ""), IF($H$56=Lists!$D$9, IFERROR(MROUND(CONVERT(G68-E68,"day","yr")*12, 0.5)&amp;" mo.", ""), IFERROR(MROUND(CONVERT(G68-F68,"day","yr")*12, 0.5)&amp;" mo.", ""))))</f>
        <v>20 mo.</v>
      </c>
      <c r="I68" s="130"/>
      <c r="J68" s="57"/>
    </row>
    <row r="69" spans="1:10" x14ac:dyDescent="0.25">
      <c r="A69" s="56"/>
      <c r="B69" s="15" t="s">
        <v>8</v>
      </c>
      <c r="D69" s="16"/>
      <c r="E69" s="89">
        <v>45992</v>
      </c>
      <c r="F69" s="89">
        <v>45992</v>
      </c>
      <c r="G69" s="90">
        <v>46722</v>
      </c>
      <c r="H69" s="114" t="str">
        <f>IF(SUM(E69:G69)=0, "", IF($H$56=Lists!$D$8, IFERROR(MROUND(CONVERT(F69-E69,"day","yr")*12, 0.5)&amp;" mo.", ""), IF($H$56=Lists!$D$9, IFERROR(MROUND(CONVERT(G69-E69,"day","yr")*12, 0.5)&amp;" mo.", ""), IFERROR(MROUND(CONVERT(G69-F69,"day","yr")*12, 0.5)&amp;" mo.", ""))))</f>
        <v>24 mo.</v>
      </c>
      <c r="I69" s="130"/>
      <c r="J69" s="57"/>
    </row>
    <row r="70" spans="1:10" x14ac:dyDescent="0.25">
      <c r="A70" s="56"/>
      <c r="B70" s="18" t="s">
        <v>9</v>
      </c>
      <c r="C70" s="19"/>
      <c r="D70" s="20"/>
      <c r="E70" s="89"/>
      <c r="F70" s="89"/>
      <c r="G70" s="90">
        <v>46784</v>
      </c>
      <c r="H70" s="114" t="str">
        <f>IF(SUM(E70:G70)=0, "", IF($H$56=Lists!$D$8, IFERROR(MROUND(CONVERT(F70-E70,"day","yr")*12, 0.5)&amp;" mo.", ""), IF($H$56=Lists!$D$9, IFERROR(MROUND(CONVERT(G70-E70,"day","yr")*12, 0.5)&amp;" mo.", ""), IFERROR(MROUND(CONVERT(G70-F70,"day","yr")*12, 0.5)&amp;" mo.", ""))))</f>
        <v>1537 mo.</v>
      </c>
      <c r="I70" s="130"/>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4"/>
      <c r="J73" s="57"/>
    </row>
    <row r="74" spans="1:10" ht="75" customHeight="1" x14ac:dyDescent="0.25">
      <c r="A74" s="56"/>
      <c r="B74" s="202" t="s">
        <v>177</v>
      </c>
      <c r="C74" s="202"/>
      <c r="D74" s="202"/>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0" t="s">
        <v>50</v>
      </c>
      <c r="C76" s="211"/>
      <c r="D76" s="21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7"/>
      <c r="F79" s="97"/>
      <c r="G79" s="98">
        <v>211995</v>
      </c>
      <c r="H79" s="31">
        <f>IF($H$56=Lists!$D$8, IFERROR(F79-E79, ""), IF($H$56=Lists!$D$9, IFERROR(G79-E79, ""), IFERROR(G79-F79, "")))</f>
        <v>211995</v>
      </c>
      <c r="I79" s="83" t="s">
        <v>216</v>
      </c>
      <c r="J79" s="57"/>
    </row>
    <row r="80" spans="1:10" x14ac:dyDescent="0.25">
      <c r="A80" s="56"/>
      <c r="B80" s="15" t="s">
        <v>165</v>
      </c>
      <c r="D80" s="16"/>
      <c r="E80" s="97">
        <v>885722</v>
      </c>
      <c r="F80" s="97">
        <v>885722</v>
      </c>
      <c r="G80" s="98">
        <v>260419</v>
      </c>
      <c r="H80" s="31">
        <f>IF($H$56=Lists!$D$8, IFERROR(F80-E80, ""), IF($H$56=Lists!$D$9, IFERROR(G80-E80, ""), IFERROR(G80-F80, "")))</f>
        <v>-625303</v>
      </c>
      <c r="I80" s="83" t="s">
        <v>221</v>
      </c>
      <c r="J80" s="57"/>
    </row>
    <row r="81" spans="1:10" x14ac:dyDescent="0.25">
      <c r="A81" s="56"/>
      <c r="B81" s="15" t="s">
        <v>167</v>
      </c>
      <c r="D81" s="16"/>
      <c r="E81" s="97">
        <v>1808285</v>
      </c>
      <c r="F81" s="97">
        <v>1808285</v>
      </c>
      <c r="G81" s="98">
        <v>151660</v>
      </c>
      <c r="H81" s="31">
        <f>IF($H$56=Lists!$D$8, IFERROR(F81-E81, ""), IF($H$56=Lists!$D$9, IFERROR(G81-E81, ""), IFERROR(G81-F81, "")))</f>
        <v>-1656625</v>
      </c>
      <c r="I81" s="83" t="s">
        <v>221</v>
      </c>
      <c r="J81" s="57"/>
    </row>
    <row r="82" spans="1:10" x14ac:dyDescent="0.25">
      <c r="A82" s="56"/>
      <c r="B82" s="15" t="s">
        <v>166</v>
      </c>
      <c r="D82" s="16"/>
      <c r="E82" s="97">
        <f>340346*1.2338</f>
        <v>419918.89480000001</v>
      </c>
      <c r="F82" s="97">
        <f>340346*1.2338</f>
        <v>419918.89480000001</v>
      </c>
      <c r="G82" s="97">
        <v>0</v>
      </c>
      <c r="H82" s="31">
        <f>IF($H$56=Lists!$D$8, IFERROR(F82-E82, ""), IF($H$56=Lists!$D$9, IFERROR(G82-E82, ""), IFERROR(G82-F82, "")))</f>
        <v>-419918.89480000001</v>
      </c>
      <c r="I82" s="83"/>
      <c r="J82" s="57"/>
    </row>
    <row r="83" spans="1:10" x14ac:dyDescent="0.25">
      <c r="A83" s="56"/>
      <c r="B83" s="15" t="s">
        <v>168</v>
      </c>
      <c r="D83" s="16"/>
      <c r="E83" s="97">
        <f>1257633-E82</f>
        <v>837714.10519999999</v>
      </c>
      <c r="F83" s="97">
        <f>1257633-F82</f>
        <v>837714.10519999999</v>
      </c>
      <c r="G83" s="97"/>
      <c r="H83" s="32">
        <f>IF($H$56=Lists!$D$8, IFERROR(F83-E83, ""), IF($H$56=Lists!$D$9, IFERROR(G83-E83, ""), IFERROR(G83-F83, "")))</f>
        <v>-837714.10519999999</v>
      </c>
      <c r="I83" s="83"/>
      <c r="J83" s="57"/>
    </row>
    <row r="84" spans="1:10" x14ac:dyDescent="0.25">
      <c r="A84" s="56"/>
      <c r="B84" s="15" t="s">
        <v>13</v>
      </c>
      <c r="D84" s="16"/>
      <c r="E84" s="97">
        <v>205025</v>
      </c>
      <c r="F84" s="97">
        <v>205025</v>
      </c>
      <c r="G84" s="98"/>
      <c r="H84" s="31">
        <f>IF($H$56=Lists!$D$8, IFERROR(F84-E84, ""), IF($H$56=Lists!$D$9, IFERROR(G84-E84, ""), IFERROR(G84-F84, "")))</f>
        <v>-205025</v>
      </c>
      <c r="I84" s="99"/>
      <c r="J84" s="57"/>
    </row>
    <row r="85" spans="1:10" x14ac:dyDescent="0.25">
      <c r="A85" s="56"/>
      <c r="B85" s="154" t="s">
        <v>14</v>
      </c>
      <c r="C85" s="155"/>
      <c r="D85" s="156"/>
      <c r="E85" s="34">
        <f>SUM(E79:E84)</f>
        <v>4156665</v>
      </c>
      <c r="F85" s="34">
        <f>SUM(F79:F84)</f>
        <v>4156665</v>
      </c>
      <c r="G85" s="34">
        <f>SUM(G79:G84)</f>
        <v>624074</v>
      </c>
      <c r="H85" s="35">
        <f>IF($H$56=Lists!$D$8, IFERROR(F85-E85, ""), IF($H$56=Lists!$D$9, IFERROR(G85-E85, ""), IFERROR(G85-F85, "")))</f>
        <v>-3532591</v>
      </c>
      <c r="I85" s="100"/>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7">
        <v>930776</v>
      </c>
      <c r="F88" s="97">
        <v>930776</v>
      </c>
      <c r="G88" s="98"/>
      <c r="H88" s="36">
        <f>IF($H$56=Lists!$D$8, IFERROR(F88-E88, ""), IF($H$56=Lists!$D$9, IFERROR(G88-E88, ""), IFERROR(G88-F88, "")))</f>
        <v>-930776</v>
      </c>
      <c r="I88" s="83"/>
      <c r="J88" s="57"/>
    </row>
    <row r="89" spans="1:10" x14ac:dyDescent="0.25">
      <c r="A89" s="56"/>
      <c r="B89" s="15" t="s">
        <v>46</v>
      </c>
      <c r="D89" s="16"/>
      <c r="E89" s="97">
        <v>0</v>
      </c>
      <c r="F89" s="97">
        <v>0</v>
      </c>
      <c r="G89" s="98"/>
      <c r="H89" s="36">
        <f>IF($H$56=Lists!$D$8, IFERROR(F89-E89, ""), IF($H$56=Lists!$D$9, IFERROR(G89-E89, ""), IFERROR(G89-F89, "")))</f>
        <v>0</v>
      </c>
      <c r="I89" s="99"/>
      <c r="J89" s="57"/>
    </row>
    <row r="90" spans="1:10" x14ac:dyDescent="0.25">
      <c r="A90" s="56"/>
      <c r="B90" s="15" t="s">
        <v>47</v>
      </c>
      <c r="D90" s="16"/>
      <c r="E90" s="97">
        <v>15935761</v>
      </c>
      <c r="F90" s="97">
        <v>15935761</v>
      </c>
      <c r="G90" s="97"/>
      <c r="H90" s="37">
        <f>IF($H$56=Lists!$D$8, IFERROR(F90-E90, ""), IF($H$56=Lists!$D$9, IFERROR(G90-E90, ""), IFERROR(G90-F90, "")))</f>
        <v>-15935761</v>
      </c>
      <c r="I90" s="83"/>
      <c r="J90" s="57"/>
    </row>
    <row r="91" spans="1:10" x14ac:dyDescent="0.25">
      <c r="A91" s="56"/>
      <c r="B91" s="151" t="s">
        <v>51</v>
      </c>
      <c r="C91" s="152"/>
      <c r="D91" s="153"/>
      <c r="E91" s="38">
        <f>SUM(E88:E90)</f>
        <v>16866537</v>
      </c>
      <c r="F91" s="38">
        <f t="shared" ref="F91" si="5">SUM(F88:F90)</f>
        <v>16866537</v>
      </c>
      <c r="G91" s="38"/>
      <c r="H91" s="36">
        <f>IF($H$56=Lists!$D$8, IFERROR(F91-E91, ""), IF($H$56=Lists!$D$9, IFERROR(G91-E91, ""), IFERROR(G91-F91, "")))</f>
        <v>-16866537</v>
      </c>
      <c r="I91" s="100"/>
      <c r="J91" s="57"/>
    </row>
    <row r="92" spans="1:10" x14ac:dyDescent="0.25">
      <c r="A92" s="56"/>
      <c r="B92" s="15" t="s">
        <v>48</v>
      </c>
      <c r="D92" s="16"/>
      <c r="E92" s="97">
        <v>844290</v>
      </c>
      <c r="F92" s="97">
        <v>844290</v>
      </c>
      <c r="G92" s="98"/>
      <c r="H92" s="36">
        <f>IF($H$56=Lists!$D$8, IFERROR(F92-E92, ""), IF($H$56=Lists!$D$9, IFERROR(G92-E92, ""), IFERROR(G92-F92, "")))</f>
        <v>-844290</v>
      </c>
      <c r="I92" s="99"/>
      <c r="J92" s="57"/>
    </row>
    <row r="93" spans="1:10" x14ac:dyDescent="0.25">
      <c r="A93" s="56"/>
      <c r="B93" s="15" t="s">
        <v>49</v>
      </c>
      <c r="D93" s="16"/>
      <c r="E93" s="97">
        <v>0</v>
      </c>
      <c r="F93" s="97">
        <v>0</v>
      </c>
      <c r="G93" s="97"/>
      <c r="H93" s="36">
        <f>IF($H$56=Lists!$D$8, IFERROR(F93-E93, ""), IF($H$56=Lists!$D$9, IFERROR(G93-E93, ""), IFERROR(G93-F93, "")))</f>
        <v>0</v>
      </c>
      <c r="I93" s="99"/>
      <c r="J93" s="57"/>
    </row>
    <row r="94" spans="1:10" x14ac:dyDescent="0.25">
      <c r="A94" s="56"/>
      <c r="B94" s="15" t="s">
        <v>40</v>
      </c>
      <c r="D94" s="16"/>
      <c r="E94" s="97">
        <v>1629397</v>
      </c>
      <c r="F94" s="97">
        <v>1629397</v>
      </c>
      <c r="G94" s="97"/>
      <c r="H94" s="36">
        <f>IF($H$56=Lists!$D$8, IFERROR(F94-E94, ""), IF($H$56=Lists!$D$9, IFERROR(G94-E94, ""), IFERROR(G94-F94, "")))</f>
        <v>-1629397</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4" t="s">
        <v>52</v>
      </c>
      <c r="C97" s="155"/>
      <c r="D97" s="156"/>
      <c r="E97" s="38">
        <f>SUM(E91:E96)</f>
        <v>19340224</v>
      </c>
      <c r="F97" s="38">
        <f t="shared" ref="F97:G97" si="6">SUM(F91:F96)</f>
        <v>19340224</v>
      </c>
      <c r="G97" s="38">
        <f t="shared" si="6"/>
        <v>0</v>
      </c>
      <c r="H97" s="39">
        <f>IF($H$56=Lists!$D$8, IFERROR(F97-E97, ""), IF($H$56=Lists!$D$9, IFERROR(G97-E97, ""), IFERROR(G97-F97, "")))</f>
        <v>-19340224</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101">
        <v>1385035</v>
      </c>
      <c r="F100" s="101">
        <v>1385035</v>
      </c>
      <c r="G100" s="102"/>
      <c r="H100" s="41">
        <f>IF($H$56=Lists!$D$8, IFERROR(F100-E100, ""), IF($H$56=Lists!$D$9, IFERROR(G100-E100, ""), IFERROR(G100-F100, "")))</f>
        <v>-1385035</v>
      </c>
      <c r="I100" s="103"/>
      <c r="J100" s="104"/>
    </row>
    <row r="101" spans="1:10" x14ac:dyDescent="0.25">
      <c r="A101" s="56"/>
      <c r="B101" s="40" t="s">
        <v>18</v>
      </c>
      <c r="D101" s="16"/>
      <c r="E101" s="101">
        <v>84333</v>
      </c>
      <c r="F101" s="101">
        <v>84333</v>
      </c>
      <c r="G101" s="102"/>
      <c r="H101" s="41">
        <f>IF($H$56=Lists!$D$8, IFERROR(F101-E101, ""), IF($H$56=Lists!$D$9, IFERROR(G101-E101, ""), IFERROR(G101-F101, "")))</f>
        <v>-84333</v>
      </c>
      <c r="I101" s="103"/>
      <c r="J101" s="104"/>
    </row>
    <row r="102" spans="1:10" x14ac:dyDescent="0.25">
      <c r="A102" s="56"/>
      <c r="B102" s="40" t="s">
        <v>53</v>
      </c>
      <c r="D102" s="16"/>
      <c r="E102" s="97">
        <v>0</v>
      </c>
      <c r="F102" s="97">
        <v>0</v>
      </c>
      <c r="G102" s="98"/>
      <c r="H102" s="42">
        <f>IF($H$56=Lists!$D$8, IFERROR(F102-E102, ""), IF($H$56=Lists!$D$9, IFERROR(G102-E102, ""), IFERROR(G102-F102, "")))</f>
        <v>0</v>
      </c>
      <c r="I102" s="83"/>
      <c r="J102" s="57"/>
    </row>
    <row r="103" spans="1:10" x14ac:dyDescent="0.25">
      <c r="A103" s="56"/>
      <c r="B103" s="40" t="s">
        <v>147</v>
      </c>
      <c r="D103" s="16"/>
      <c r="E103" s="97">
        <v>71320</v>
      </c>
      <c r="F103" s="97">
        <v>71320</v>
      </c>
      <c r="G103" s="105"/>
      <c r="H103" s="43">
        <f>IF($H$56=Lists!$D$8, IFERROR(F103-E103, ""), IF($H$56=Lists!$D$9, IFERROR(G103-E103, ""), IFERROR(G103-F103, "")))</f>
        <v>-71320</v>
      </c>
      <c r="I103" s="103"/>
      <c r="J103" s="104"/>
    </row>
    <row r="104" spans="1:10" ht="15.75" thickBot="1" x14ac:dyDescent="0.3">
      <c r="A104" s="56"/>
      <c r="B104" s="157" t="s">
        <v>54</v>
      </c>
      <c r="C104" s="158"/>
      <c r="D104" s="159"/>
      <c r="E104" s="44">
        <f>SUM(E100:E103)</f>
        <v>1540688</v>
      </c>
      <c r="F104" s="44">
        <f>SUM(F100:F103)</f>
        <v>1540688</v>
      </c>
      <c r="G104" s="44">
        <f>SUM(G100:G103)</f>
        <v>0</v>
      </c>
      <c r="H104" s="39">
        <f>IF($H$56=Lists!$D$8, IFERROR(F104-E104, ""), IF($H$56=Lists!$D$9, IFERROR(G104-E104, ""), IFERROR(G104-F104, "")))</f>
        <v>-1540688</v>
      </c>
      <c r="I104" s="106"/>
      <c r="J104" s="104"/>
    </row>
    <row r="105" spans="1:10" ht="20.25" thickTop="1" thickBot="1" x14ac:dyDescent="0.35">
      <c r="A105" s="56"/>
      <c r="B105" s="107" t="s">
        <v>145</v>
      </c>
      <c r="C105" s="108"/>
      <c r="D105" s="108"/>
      <c r="E105" s="109">
        <f>SUM(E76,E85,E97,E104)</f>
        <v>25037577</v>
      </c>
      <c r="F105" s="109">
        <f>SUM(F76,F85,F97,F104)</f>
        <v>25037577</v>
      </c>
      <c r="G105" s="109">
        <f>SUM(G76,G85,G97,G104)</f>
        <v>624074</v>
      </c>
      <c r="H105" s="109">
        <f>SUM(H76,H85,H97,H104)</f>
        <v>-24413503</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170"/>
      <c r="D108" s="170"/>
      <c r="E108" s="170" t="str">
        <f>IF(ReportType=Lists!$O$2, "", "NOTES")</f>
        <v/>
      </c>
      <c r="F108" s="170"/>
      <c r="G108" s="170"/>
      <c r="H108" s="170"/>
      <c r="I108" s="171"/>
      <c r="J108" s="61"/>
    </row>
    <row r="109" spans="1:10" ht="15" customHeight="1" x14ac:dyDescent="0.25">
      <c r="A109" s="56"/>
      <c r="B109" s="80" t="str">
        <f>IF(ReportType=Lists!$O$2, "", "Number of Change Orders")</f>
        <v/>
      </c>
      <c r="C109" s="163"/>
      <c r="D109" s="164"/>
      <c r="E109" s="167"/>
      <c r="F109" s="168"/>
      <c r="G109" s="168"/>
      <c r="H109" s="168"/>
      <c r="I109" s="169"/>
      <c r="J109" s="57"/>
    </row>
    <row r="110" spans="1:10" ht="15" customHeight="1" x14ac:dyDescent="0.25">
      <c r="A110" s="56"/>
      <c r="B110" s="80" t="str">
        <f>IF(ReportType=Lists!$O$2, "", "Total Value of Change Orders")</f>
        <v/>
      </c>
      <c r="C110" s="175"/>
      <c r="D110" s="176"/>
      <c r="E110" s="120"/>
      <c r="F110" s="121"/>
      <c r="G110" s="121"/>
      <c r="H110" s="121"/>
      <c r="I110" s="122"/>
      <c r="J110" s="57"/>
    </row>
    <row r="111" spans="1:10" ht="15" customHeight="1" x14ac:dyDescent="0.25">
      <c r="A111" s="56"/>
      <c r="B111" s="80" t="str">
        <f>IF(ReportType=Lists!$O$2, "", "Outstanding Liabilities")</f>
        <v/>
      </c>
      <c r="C111" s="175"/>
      <c r="D111" s="176"/>
      <c r="E111" s="120"/>
      <c r="F111" s="121"/>
      <c r="G111" s="121"/>
      <c r="H111" s="121"/>
      <c r="I111" s="122"/>
      <c r="J111" s="57"/>
    </row>
    <row r="112" spans="1:10" x14ac:dyDescent="0.25">
      <c r="A112" s="56"/>
      <c r="B112" s="18" t="str">
        <f>IF(ReportType=Lists!$O$2, "", "Unsettled Claims")</f>
        <v/>
      </c>
      <c r="C112" s="165"/>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224</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2">
      <formula>CELL("PROTECT", A1)=0</formula>
    </cfRule>
  </conditionalFormatting>
  <conditionalFormatting sqref="A95:J99 A104:J109 A110:C111 E110:J111 A112:J135">
    <cfRule type="expression" dxfId="3" priority="11">
      <formula>CELL("PROTECT", A95)=0</formula>
    </cfRule>
  </conditionalFormatting>
  <conditionalFormatting sqref="A100:J103">
    <cfRule type="expression" dxfId="2" priority="1">
      <formula>CELL("PROTECT", A100)=0</formula>
    </cfRule>
  </conditionalFormatting>
  <conditionalFormatting sqref="E95:I96">
    <cfRule type="expression" dxfId="1" priority="1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BEF370A-B251-4576-A639-755A7DDD07AE}"/>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64" zoomScaleNormal="100" workbookViewId="0">
      <selection activeCell="I57" sqref="I5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2024-06-20T17:50:17Z</dcterms:modified>
</cp:coreProperties>
</file>