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3AF18A73-404A-4282-AE27-D7745E80624D}"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F82" i="3" l="1"/>
  <c r="F83" i="3" s="1"/>
  <c r="G57" i="3"/>
  <c r="C46" i="3"/>
  <c r="E46" i="3" s="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<sst xmlns="http://schemas.openxmlformats.org/spreadsheetml/2006/main" count="250" uniqueCount="229">
  <si>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</si>
  <si>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</si>
  <si>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</si>
  <si>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</si>
  <si>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</si>
  <si>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</si>
  <si>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</si>
  <si>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</si>
  <si>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</si>
  <si>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</si>
  <si>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</si>
  <si>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</si>
  <si>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</si>
  <si>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</si>
  <si>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</si>
  <si>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</si>
  <si>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</si>
  <si>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</si>
  <si>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</si>
  <si>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</si>
  <si>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</si>
  <si>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</si>
  <si>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</si>
  <si>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</si>
  <si>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</si>
  <si>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</si>
  <si>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</si>
  <si>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</si>
  <si>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</si>
  <si>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</si>
  <si>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</si>
  <si>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</si>
  <si>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</si>
  <si>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</si>
  <si>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</si>
  <si>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</si>
  <si>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</si>
  <si>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</si>
  <si>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</si>
  <si>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</si>
  <si>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</si>
  <si>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</si>
  <si>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</si>
  <si>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</si>
  <si>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</si>
  <si>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</si>
  <si>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</si>
  <si>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</si>
  <si>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</si>
  <si>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</si>
  <si>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</si>
  <si>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</si>
  <si>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</si>
  <si>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</si>
  <si>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</si>
  <si>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</si>
  <si>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</si>
  <si>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</si>
  <si>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</si>
  <si>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</si>
  <si>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</si>
  <si>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</si>
  <si>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</si>
  <si>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</si>
  <si>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</si>
  <si>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</si>
  <si>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</si>
  <si>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</si>
  <si>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</si>
  <si>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</si>
  <si>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</si>
  <si>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</si>
  <si>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</si>
  <si>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</si>
  <si>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</si>
  <si>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</si>
  <si>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</si>
  <si>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</si>
  <si>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</si>
  <si>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</si>
  <si>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</si>
  <si>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</si>
  <si>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</si>
  <si>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</si>
  <si>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</si>
  <si>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</si>
  <si>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</si>
  <si>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</si>
  <si>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</si>
  <si>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</si>
  <si>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</si>
  <si>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</si>
  <si>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</si>
  <si>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</si>
  <si>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</si>
  <si>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</si>
  <si>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</si>
  <si>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</si>
  <si>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</si>
  <si>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</si>
  <si>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</si>
  <si>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</si>
  <si>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</si>
  <si>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</si>
  <si>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</si>
  <si>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</si>
  <si>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</si>
  <si>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</si>
  <si>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</si>
  <si>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</si>
  <si>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</si>
  <si>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</si>
  <si>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</si>
  <si>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</si>
  <si>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</si>
  <si>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</si>
  <si>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</si>
  <si>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</si>
  <si>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</si>
  <si>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</si>
  <si>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</si>
  <si>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</si>
  <si>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</si>
  <si>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</si>
  <si>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</si>
  <si>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</si>
  <si>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</si>
  <si>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</si>
  <si>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</si>
  <si>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</si>
  <si>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</si>
  <si>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</si>
  <si>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</si>
  <si>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</si>
  <si>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</si>
  <si>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</si>
  <si>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</si>
  <si>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</si>
  <si>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</si>
  <si>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</si>
  <si>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</si>
  <si>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</si>
  <si>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</si>
  <si>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</si>
  <si>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</si>
  <si>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</si>
  <si>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</si>
  <si>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</si>
  <si>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</si>
  <si>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</si>
  <si>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</si>
  <si>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</si>
  <si>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</si>
  <si>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</si>
  <si>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</si>
  <si>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</si>
  <si>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</si>
  <si>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</si>
  <si>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</si>
  <si>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</si>
  <si>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</si>
  <si>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</si>
  <si>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</si>
  <si>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</si>
  <si>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</si>
  <si>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</si>
  <si>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</si>
  <si>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</si>
  <si>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</si>
  <si>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</si>
  <si>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</si>
  <si>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</si>
  <si>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</si>
  <si>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</si>
  <si>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</si>
  <si>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</si>
  <si>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</si>
  <si>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</si>
  <si>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</si>
  <si>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</si>
  <si>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</si>
  <si>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</si>
  <si>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</si>
  <si>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</si>
  <si>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</si>
  <si>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</si>
  <si>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</si>
  <si>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</si>
  <si>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</si>
  <si>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</si>
  <si>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</si>
  <si>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</si>
  <si>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</si>
  <si>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</si>
  <si>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</si>
  <si>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</si>
  <si>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</si>
  <si>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</si>
  <si>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</si>
  <si>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</si>
  <si>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</si>
  <si>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</si>
  <si>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</si>
  <si>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</si>
  <si>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</si>
  <si>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</si>
  <si>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</si>
  <si>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</si>
  <si>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</si>
  <si>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</si>
  <si>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</si>
  <si>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</si>
  <si>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</si>
  <si>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Fort Steilacoom Cascade Building Phase 3</t>
  </si>
  <si>
    <t>Gus Lim</t>
  </si>
  <si>
    <t>253-964-6729</t>
  </si>
  <si>
    <t>rlim@pierce.ctc.edu</t>
  </si>
  <si>
    <t>This project renovates a portion of the Cascade Building on the Pierce College Fort Steilacoom campus. The project chiefly affects three educational programs: Dental Hygiene, Veterinary Technician, and Emergency Medical Technician. The original project request was to build approximately 20,000 SF of new area to move the Veterinary Technician Program and renovate the old space for expansion of the Dental Hygiene and EMT programs. Is also called for a number of smaller space renovations.</t>
  </si>
  <si>
    <t>U98 Bal moved to A02</t>
  </si>
  <si>
    <t>A02</t>
  </si>
  <si>
    <t>N586</t>
  </si>
  <si>
    <t>147 - Local Funds</t>
  </si>
  <si>
    <t>OFM approved</t>
  </si>
  <si>
    <t>1. New construction 36,712 GSF and renovation of Cascade level 1 only 23,260 GSF  2. USF data not available at this time.
Wa Arts Commission: December 2022 - artwork installed July 2022</t>
  </si>
  <si>
    <t>permits, light rental</t>
  </si>
  <si>
    <t>Project still open</t>
  </si>
  <si>
    <t>Glacier SC 9/6/22. The Actuals to date is SC for Cascade Level 1 Renovation.</t>
  </si>
  <si>
    <t>June 2024</t>
  </si>
  <si>
    <t>The Cascade Level 1  portion of the project achieved substantial completion on 8/14/23 and the renovated area was occupied in time for Fall Quarter 2023. A few issues remain with lighting controls programming and the contractor is working to resolve them. The planned replacement of a significant number of exterior metal panels due to a fault in the anodized manufacture of the panels at the Glacier Building is in process with the replacement panels now in production.  This item is being covered under warranty, onsite work anticipated to start June 15th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</si>
</sst>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311150</xdr:colOff>
      <xdr:row>20</xdr:row>
      <xdr:rowOff>76200</xdr:rowOff>
    </xdr:from>
    <xdr:to>
      <xdr:col>7</xdr:col>
      <xdr:colOff>406399</xdr:colOff>
      <xdr:row>21</xdr:row>
      <xdr:rowOff>123825</xdr:rowOff>
    </xdr:to>
    <xdr:sp macro="" textlink="" fLocksText="0">
      <xdr:nvSpPr>
        <xdr:cNvPr id="2" name="TextBox 1">
          <a:extLst>
            <a:ext uri="{FF2B5EF4-FFF2-40B4-BE49-F238E27FC236}">
              <a16:creationId xmlns:a16="http://schemas.microsoft.com/office/drawing/2014/main" id="{47ED53AB-33C0-4ED6-A1D3-B9034CFBC089}"/>
            </a:ext>
          </a:extLst>
        </xdr:cNvPr>
        <xdr:cNvSpPr txBox="1"/>
      </xdr:nvSpPr>
      <xdr:spPr>
        <a:xfrm>
          <a:off x="3111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11</xdr:col>
      <xdr:colOff>429137</xdr:colOff>
      <xdr:row>5</xdr:row>
      <xdr:rowOff>70472</xdr:rowOff>
    </xdr:from>
    <xdr:to>
      <xdr:col>14</xdr:col>
      <xdr:colOff>408197</xdr:colOff>
      <xdr:row>19</xdr:row>
      <xdr:rowOff>169553</xdr:rowOff>
    </xdr:to>
    <xdr:pic>
      <xdr:nvPicPr>
        <xdr:cNvPr id="3" name="Picture 2">
          <a:extLst>
            <a:ext uri="{FF2B5EF4-FFF2-40B4-BE49-F238E27FC236}">
              <a16:creationId xmlns:a16="http://schemas.microsoft.com/office/drawing/2014/main" id="{6E90279C-5671-42AB-8905-CC8248987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6455601" y="14258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501650</xdr:colOff>
      <xdr:row>20</xdr:row>
      <xdr:rowOff>101600</xdr:rowOff>
    </xdr:from>
    <xdr:to>
      <xdr:col>18</xdr:col>
      <xdr:colOff>292099</xdr:colOff>
      <xdr:row>21</xdr:row>
      <xdr:rowOff>149225</xdr:rowOff>
    </xdr:to>
    <xdr:sp macro="" textlink="" fLocksText="0">
      <xdr:nvSpPr>
        <xdr:cNvPr id="4" name="TextBox 3">
          <a:extLst>
            <a:ext uri="{FF2B5EF4-FFF2-40B4-BE49-F238E27FC236}">
              <a16:creationId xmlns:a16="http://schemas.microsoft.com/office/drawing/2014/main" id="{CDCD6E3D-FD81-4F7C-BA09-5337997415F6}"/>
            </a:ext>
          </a:extLst>
        </xdr:cNvPr>
        <xdr:cNvSpPr txBox="1"/>
      </xdr:nvSpPr>
      <xdr:spPr>
        <a:xfrm>
          <a:off x="6397625" y="3835400"/>
          <a:ext cx="43243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a:solidFill>
                <a:schemeClr val="bg1"/>
              </a:solidFill>
              <a:effectLst/>
              <a:latin typeface="+mn-lt"/>
              <a:ea typeface="+mn-ea"/>
              <a:cs typeface="+mn-cs"/>
            </a:rPr>
            <a:t>North</a:t>
          </a:r>
          <a:r>
            <a:rPr lang="en-US" sz="1100" baseline="0">
              <a:solidFill>
                <a:schemeClr val="bg1"/>
              </a:solidFill>
              <a:effectLst/>
              <a:latin typeface="+mn-lt"/>
              <a:ea typeface="+mn-ea"/>
              <a:cs typeface="+mn-cs"/>
            </a:rPr>
            <a:t> hallway outside Microbiology Lab</a:t>
          </a:r>
          <a:r>
            <a:rPr lang="en-US" sz="1100">
              <a:solidFill>
                <a:schemeClr val="bg1"/>
              </a:solidFill>
              <a:effectLst/>
              <a:latin typeface="+mn-lt"/>
              <a:ea typeface="+mn-ea"/>
              <a:cs typeface="+mn-cs"/>
            </a:rPr>
            <a:t>  in pre - Cascade</a:t>
          </a:r>
          <a:r>
            <a:rPr lang="en-US" sz="1100">
              <a:solidFill>
                <a:schemeClr val="dk1"/>
              </a:solidFill>
              <a:effectLst/>
              <a:latin typeface="+mn-lt"/>
              <a:ea typeface="+mn-ea"/>
              <a:cs typeface="+mn-cs"/>
            </a:rPr>
            <a:t>that starts June 5th.</a:t>
          </a:r>
        </a:p>
        <a:p>
          <a:pP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a:r>
            <a:rPr lang="en-US" sz="1100" b="1">
              <a:solidFill>
                <a:schemeClr val="bg1"/>
              </a:solidFill>
            </a:rPr>
            <a:t>From the south</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516470</xdr:colOff>
      <xdr:row>40</xdr:row>
      <xdr:rowOff>169554</xdr:rowOff>
    </xdr:to>
    <xdr:pic>
      <xdr:nvPicPr>
        <xdr:cNvPr id="5" name="Picture 4">
          <a:extLst>
            <a:ext uri="{FF2B5EF4-FFF2-40B4-BE49-F238E27FC236}">
              <a16:creationId xmlns:a16="http://schemas.microsoft.com/office/drawing/2014/main" id="{B455A722-7C4F-4452-860A-E5E466B75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0462" y="4947273"/>
          <a:ext cx="3243608"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260350</xdr:colOff>
      <xdr:row>18</xdr:row>
      <xdr:rowOff>177800</xdr:rowOff>
    </xdr:from>
    <xdr:to>
      <xdr:col>7</xdr:col>
      <xdr:colOff>355599</xdr:colOff>
      <xdr:row>20</xdr:row>
      <xdr:rowOff>34925</xdr:rowOff>
    </xdr:to>
    <xdr:sp macro="" textlink="" fLocksText="0">
      <xdr:nvSpPr>
        <xdr:cNvPr id="6" name="TextBox 5">
          <a:extLst>
            <a:ext uri="{FF2B5EF4-FFF2-40B4-BE49-F238E27FC236}">
              <a16:creationId xmlns:a16="http://schemas.microsoft.com/office/drawing/2014/main" id="{F94E1DED-6266-4020-AD4F-A3A94D582EF7}"/>
            </a:ext>
          </a:extLst>
        </xdr:cNvPr>
        <xdr:cNvSpPr txBox="1"/>
      </xdr:nvSpPr>
      <xdr:spPr>
        <a:xfrm>
          <a:off x="260350" y="35306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Microbiology Lab in process - Cascade</a:t>
          </a:r>
          <a:endParaRPr lang="en-US" sz="1100" b="1">
            <a:solidFill>
              <a:schemeClr val="bg1"/>
            </a:solidFill>
          </a:endParaRPr>
        </a:p>
      </xdr:txBody>
    </xdr:sp>
    <xdr:clientData fLocksWithSheet="0"/>
  </xdr:twoCellAnchor>
  <xdr:twoCellAnchor>
    <xdr:from>
      <xdr:col>11</xdr:col>
      <xdr:colOff>429137</xdr:colOff>
      <xdr:row>26</xdr:row>
      <xdr:rowOff>70472</xdr:rowOff>
    </xdr:from>
    <xdr:to>
      <xdr:col>14</xdr:col>
      <xdr:colOff>408197</xdr:colOff>
      <xdr:row>40</xdr:row>
      <xdr:rowOff>169553</xdr:rowOff>
    </xdr:to>
    <xdr:pic>
      <xdr:nvPicPr>
        <xdr:cNvPr id="7" name="Picture 6">
          <a:extLst>
            <a:ext uri="{FF2B5EF4-FFF2-40B4-BE49-F238E27FC236}">
              <a16:creationId xmlns:a16="http://schemas.microsoft.com/office/drawing/2014/main" id="{F060966B-3044-425B-8598-7970BDAE35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6455601" y="54263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8" name="TextBox 7">
          <a:extLst>
            <a:ext uri="{FF2B5EF4-FFF2-40B4-BE49-F238E27FC236}">
              <a16:creationId xmlns:a16="http://schemas.microsoft.com/office/drawing/2014/main" id="{16D006E1-00D1-46AC-A4A8-CFA783B11777}"/>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Main hallway - Cascade</a:t>
          </a:r>
        </a:p>
      </xdr:txBody>
    </xdr:sp>
    <xdr:clientData fLocksWithSheet="0"/>
  </xdr:twoCellAnchor>
  <xdr:twoCellAnchor>
    <xdr:from>
      <xdr:col>2</xdr:col>
      <xdr:colOff>452487</xdr:colOff>
      <xdr:row>45</xdr:row>
      <xdr:rowOff>140327</xdr:rowOff>
    </xdr:from>
    <xdr:to>
      <xdr:col>5</xdr:col>
      <xdr:colOff>481788</xdr:colOff>
      <xdr:row>60</xdr:row>
      <xdr:rowOff>115895</xdr:rowOff>
    </xdr:to>
    <xdr:pic>
      <xdr:nvPicPr>
        <xdr:cNvPr id="9" name="Picture 8">
          <a:extLst>
            <a:ext uri="{FF2B5EF4-FFF2-40B4-BE49-F238E27FC236}">
              <a16:creationId xmlns:a16="http://schemas.microsoft.com/office/drawing/2014/main" id="{147E818A-422D-4E94-B654-274D83C840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1184204" y="9124110"/>
          <a:ext cx="2833068" cy="18581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0" name="TextBox 9">
          <a:extLst>
            <a:ext uri="{FF2B5EF4-FFF2-40B4-BE49-F238E27FC236}">
              <a16:creationId xmlns:a16="http://schemas.microsoft.com/office/drawing/2014/main" id="{2A0178AF-E0D3-4909-9805-4D6352B404BE}"/>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Entrance - Cascade</a:t>
          </a:r>
        </a:p>
        <a:p>
          <a:pPr algn="ctr"/>
          <a:endParaRPr lang="en-US" sz="1100" b="1">
            <a:solidFill>
              <a:schemeClr val="bg1"/>
            </a:solidFill>
          </a:endParaRPr>
        </a:p>
      </xdr:txBody>
    </xdr:sp>
    <xdr:clientData fLocksWithSheet="0"/>
  </xdr:twoCellAnchor>
  <xdr:twoCellAnchor>
    <xdr:from>
      <xdr:col>10</xdr:col>
      <xdr:colOff>635826</xdr:colOff>
      <xdr:row>46</xdr:row>
      <xdr:rowOff>54601</xdr:rowOff>
    </xdr:from>
    <xdr:to>
      <xdr:col>15</xdr:col>
      <xdr:colOff>387349</xdr:colOff>
      <xdr:row>62</xdr:row>
      <xdr:rowOff>153994</xdr:rowOff>
    </xdr:to>
    <xdr:pic>
      <xdr:nvPicPr>
        <xdr:cNvPr id="11" name="Picture 10">
          <a:extLst>
            <a:ext uri="{FF2B5EF4-FFF2-40B4-BE49-F238E27FC236}">
              <a16:creationId xmlns:a16="http://schemas.microsoft.com/office/drawing/2014/main" id="{62DF5223-3458-47F1-A6FB-F69DBF3596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503226" y="8741401"/>
          <a:ext cx="2828098" cy="31473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6A13A991-5D6B-4B67-8C85-21959CC86A63}"/>
            </a:ext>
          </a:extLst>
        </xdr:cNvPr>
        <xdr:cNvSpPr txBox="1"/>
      </xdr:nvSpPr>
      <xdr:spPr>
        <a:xfrm>
          <a:off x="5686425"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 Bldg North</a:t>
          </a:r>
        </a:p>
      </xdr:txBody>
    </xdr:sp>
    <xdr:clientData fLocksWithSheet="0"/>
  </xdr:twoCellAnchor>
  <xdr:twoCellAnchor>
    <xdr:from>
      <xdr:col>2</xdr:col>
      <xdr:colOff>220591</xdr:colOff>
      <xdr:row>66</xdr:row>
      <xdr:rowOff>41901</xdr:rowOff>
    </xdr:from>
    <xdr:to>
      <xdr:col>6</xdr:col>
      <xdr:colOff>307284</xdr:colOff>
      <xdr:row>81</xdr:row>
      <xdr:rowOff>65094</xdr:rowOff>
    </xdr:to>
    <xdr:pic>
      <xdr:nvPicPr>
        <xdr:cNvPr id="13" name="Picture 12">
          <a:extLst>
            <a:ext uri="{FF2B5EF4-FFF2-40B4-BE49-F238E27FC236}">
              <a16:creationId xmlns:a16="http://schemas.microsoft.com/office/drawing/2014/main" id="{456EAC4E-F119-4C27-9353-FC892AC23D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9791" y="12538701"/>
          <a:ext cx="2525093" cy="28806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D4E14B28-F4B5-4691-AD57-E950A3FE9121}"/>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a:t>
          </a:r>
          <a:r>
            <a:rPr lang="en-US" sz="1100" b="1" baseline="0">
              <a:solidFill>
                <a:schemeClr val="bg1"/>
              </a:solidFill>
            </a:rPr>
            <a:t> Internal Patio</a:t>
          </a:r>
          <a:endParaRPr lang="en-US" sz="1100" b="1">
            <a:solidFill>
              <a:schemeClr val="bg1"/>
            </a:solidFill>
          </a:endParaRPr>
        </a:p>
      </xdr:txBody>
    </xdr:sp>
    <xdr:clientData fLocksWithSheet="0"/>
  </xdr:twoCellAnchor>
  <xdr:twoCellAnchor>
    <xdr:from>
      <xdr:col>10</xdr:col>
      <xdr:colOff>320862</xdr:colOff>
      <xdr:row>69</xdr:row>
      <xdr:rowOff>46125</xdr:rowOff>
    </xdr:from>
    <xdr:to>
      <xdr:col>15</xdr:col>
      <xdr:colOff>516471</xdr:colOff>
      <xdr:row>82</xdr:row>
      <xdr:rowOff>3402</xdr:rowOff>
    </xdr:to>
    <xdr:pic>
      <xdr:nvPicPr>
        <xdr:cNvPr id="15" name="Picture 14">
          <a:extLst>
            <a:ext uri="{FF2B5EF4-FFF2-40B4-BE49-F238E27FC236}">
              <a16:creationId xmlns:a16="http://schemas.microsoft.com/office/drawing/2014/main" id="{C0E5DA1C-B247-4592-B11B-B512A251D8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216837" y="13114425"/>
          <a:ext cx="3243609" cy="24337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0AA7CC74-0D8B-4C42-AA79-477A87ECEF14}"/>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Glacier East side</a:t>
          </a:r>
        </a:p>
        <a:p>
          <a:pPr algn="ctr"/>
          <a:endParaRPr lang="en-US" sz="1100" b="1">
            <a:solidFill>
              <a:schemeClr val="bg1"/>
            </a:solidFill>
          </a:endParaRPr>
        </a:p>
      </xdr:txBody>
    </xdr:sp>
    <xdr:clientData fLocksWithSheet="0"/>
  </xdr:twoCellAnchor>
  <xdr:twoCellAnchor>
    <xdr:from>
      <xdr:col>1</xdr:col>
      <xdr:colOff>262255</xdr:colOff>
      <xdr:row>2</xdr:row>
      <xdr:rowOff>85751</xdr:rowOff>
    </xdr:from>
    <xdr:to>
      <xdr:col>6</xdr:col>
      <xdr:colOff>349389</xdr:colOff>
      <xdr:row>16</xdr:row>
      <xdr:rowOff>179677</xdr:rowOff>
    </xdr:to>
    <xdr:pic>
      <xdr:nvPicPr>
        <xdr:cNvPr id="17" name="Picture 16">
          <a:extLst>
            <a:ext uri="{FF2B5EF4-FFF2-40B4-BE49-F238E27FC236}">
              <a16:creationId xmlns:a16="http://schemas.microsoft.com/office/drawing/2014/main" id="{D8CDD18E-5494-4F01-BD73-C276EC2566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71855" y="466751"/>
          <a:ext cx="3135134" cy="26847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429136</xdr:colOff>
      <xdr:row>26</xdr:row>
      <xdr:rowOff>70473</xdr:rowOff>
    </xdr:from>
    <xdr:to>
      <xdr:col>5</xdr:col>
      <xdr:colOff>408197</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1480376" y="52930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Nook</a:t>
          </a:r>
          <a:endParaRPr lang="en-US" sz="1100" b="1">
            <a:solidFill>
              <a:schemeClr val="bg1"/>
            </a:solidFill>
          </a:endParaRPr>
        </a:p>
      </xdr:txBody>
    </xdr:sp>
    <xdr:clientData fLocksWithSheet="0"/>
  </xdr:twoCellAnchor>
  <xdr:twoCellAnchor>
    <xdr:from>
      <xdr:col>10</xdr:col>
      <xdr:colOff>320862</xdr:colOff>
      <xdr:row>26</xdr:row>
      <xdr:rowOff>70473</xdr:rowOff>
    </xdr:from>
    <xdr:to>
      <xdr:col>15</xdr:col>
      <xdr:colOff>516471</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7726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Typ Classroom</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987-pierce-cascade-ph3-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37" zoomScaleNormal="100" workbookViewId="0">
      <selection activeCell="O37" sqref="O37"/>
    </sheetView>
  </sheetViews>
  <sheetFormatPr defaultColWidth="9.140625" defaultRowHeight="15" x14ac:dyDescent="0.25"/>
  <cols>
    <col min="1" max="1" width="1.42578125" customWidth="1"/>
    <col min="2" max="2" width="35.42578125" customWidth="1"/>
    <col min="3" max="7" width="14.42578125" customWidth="1"/>
    <col min="8" max="8" width="15" bestFit="1" customWidth="1"/>
    <col min="9" max="9" width="14.42578125" customWidth="1"/>
    <col min="10" max="10" width="1.42578125" customWidth="1"/>
  </cols>
  <sheetData>
    <row r="1" spans="1:13" ht="21.75" thickTop="1" x14ac:dyDescent="0.35">
      <c r="A1" s="54"/>
      <c r="B1" s="177" t="s">
        <v>57</v>
      </c>
      <c r="C1" s="177"/>
      <c r="D1" s="177"/>
      <c r="E1" s="177"/>
      <c r="F1" s="177"/>
      <c r="G1" s="177"/>
      <c r="H1" s="177"/>
      <c r="I1" s="177"/>
      <c r="J1" s="55"/>
    </row>
    <row r="2" spans="1:13" x14ac:dyDescent="0.25">
      <c r="A2" s="56"/>
      <c r="B2" s="129"/>
      <c r="C2" s="129"/>
      <c r="D2" s="129"/>
      <c r="E2" s="129" t="s">
        <v>209</v>
      </c>
      <c r="F2" s="129"/>
      <c r="G2" s="129"/>
      <c r="H2" s="129"/>
      <c r="I2" s="129"/>
      <c r="J2" s="57"/>
    </row>
    <row r="3" spans="1:13" ht="21" x14ac:dyDescent="0.35">
      <c r="A3" s="56"/>
      <c r="B3" s="178" t="s">
        <v>171</v>
      </c>
      <c r="C3" s="178"/>
      <c r="D3" s="178"/>
      <c r="E3" s="178"/>
      <c r="F3" s="178"/>
      <c r="G3" s="178"/>
      <c r="H3" s="178"/>
      <c r="I3" s="178"/>
      <c r="J3" s="57"/>
    </row>
    <row r="4" spans="1:13" ht="21" customHeight="1" x14ac:dyDescent="0.35">
      <c r="A4" s="58"/>
      <c r="B4" s="184" t="s">
        <v>227</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213</v>
      </c>
      <c r="D6" s="182"/>
      <c r="E6" s="182"/>
      <c r="F6" s="182"/>
      <c r="G6" s="182"/>
      <c r="H6" s="183"/>
      <c r="J6" s="61"/>
    </row>
    <row r="7" spans="1:13" s="1" customFormat="1" ht="15.75" thickBot="1" x14ac:dyDescent="0.3">
      <c r="A7" s="62"/>
      <c r="B7" s="63" t="s">
        <v>143</v>
      </c>
      <c r="C7" s="180">
        <v>30000987</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214</v>
      </c>
      <c r="D10" s="179"/>
      <c r="E10" s="179"/>
      <c r="F10" s="179"/>
      <c r="G10" s="179"/>
      <c r="H10" s="179"/>
      <c r="I10" s="66"/>
      <c r="J10" s="61"/>
    </row>
    <row r="11" spans="1:13" s="1" customFormat="1" x14ac:dyDescent="0.25">
      <c r="A11" s="60"/>
      <c r="B11" s="15" t="s">
        <v>63</v>
      </c>
      <c r="C11" s="185" t="s">
        <v>215</v>
      </c>
      <c r="D11" s="185"/>
      <c r="E11" s="185"/>
      <c r="F11" s="185"/>
      <c r="G11" s="185"/>
      <c r="H11" s="185"/>
      <c r="I11" s="66"/>
      <c r="J11" s="61"/>
    </row>
    <row r="12" spans="1:13" s="1" customFormat="1" x14ac:dyDescent="0.25">
      <c r="A12" s="60"/>
      <c r="B12" s="18" t="s">
        <v>64</v>
      </c>
      <c r="C12" s="186" t="s">
        <v>216</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217</v>
      </c>
      <c r="D16" s="190"/>
      <c r="E16" s="190"/>
      <c r="F16" s="190"/>
      <c r="G16" s="190"/>
      <c r="H16" s="190"/>
      <c r="I16" s="191"/>
      <c r="J16" s="57"/>
      <c r="M16" s="1"/>
    </row>
    <row r="17" spans="1:13" ht="15" customHeight="1" x14ac:dyDescent="0.25">
      <c r="A17" s="56"/>
      <c r="B17" s="201" t="s">
        <v>73</v>
      </c>
      <c r="C17" s="192"/>
      <c r="D17" s="193"/>
      <c r="E17" s="193"/>
      <c r="F17" s="193"/>
      <c r="G17" s="193"/>
      <c r="H17" s="193"/>
      <c r="I17" s="194"/>
      <c r="J17" s="57"/>
      <c r="M17" s="1"/>
    </row>
    <row r="18" spans="1:13" x14ac:dyDescent="0.25">
      <c r="A18" s="56"/>
      <c r="B18" s="201"/>
      <c r="C18" s="192"/>
      <c r="D18" s="193"/>
      <c r="E18" s="193"/>
      <c r="F18" s="193"/>
      <c r="G18" s="193"/>
      <c r="H18" s="193"/>
      <c r="I18" s="194"/>
      <c r="J18" s="57"/>
      <c r="M18" s="1"/>
    </row>
    <row r="19" spans="1:13" ht="36" customHeight="1" x14ac:dyDescent="0.25">
      <c r="A19" s="56"/>
      <c r="B19" s="201"/>
      <c r="C19" s="195"/>
      <c r="D19" s="196"/>
      <c r="E19" s="196"/>
      <c r="F19" s="196"/>
      <c r="G19" s="196"/>
      <c r="H19" s="196"/>
      <c r="I19" s="19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9" t="s">
        <v>228</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x14ac:dyDescent="0.25">
      <c r="A26" s="56"/>
      <c r="B26" s="187"/>
      <c r="C26" s="192"/>
      <c r="D26" s="193"/>
      <c r="E26" s="193"/>
      <c r="F26" s="193"/>
      <c r="G26" s="193"/>
      <c r="H26" s="193"/>
      <c r="I26" s="194"/>
      <c r="J26" s="57"/>
      <c r="M26" s="1"/>
    </row>
    <row r="27" spans="1:13"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3" t="s">
        <v>176</v>
      </c>
      <c r="D30" s="204"/>
      <c r="E30" s="204"/>
      <c r="F30" s="204"/>
      <c r="G30" s="204"/>
      <c r="H30" s="205"/>
      <c r="I30" s="206"/>
      <c r="J30" s="57"/>
      <c r="M30" s="1"/>
    </row>
    <row r="31" spans="1:13" ht="15" customHeight="1" x14ac:dyDescent="0.25">
      <c r="A31" s="56"/>
      <c r="B31" s="73"/>
      <c r="C31" s="203" t="s">
        <v>159</v>
      </c>
      <c r="D31" s="206"/>
      <c r="E31" s="203" t="s">
        <v>160</v>
      </c>
      <c r="F31" s="204"/>
      <c r="G31" s="204"/>
      <c r="H31" s="207" t="s">
        <v>1</v>
      </c>
      <c r="I31" s="209" t="s">
        <v>67</v>
      </c>
      <c r="J31" s="57"/>
      <c r="M31" s="1"/>
    </row>
    <row r="32" spans="1:13" s="1" customFormat="1" ht="30" x14ac:dyDescent="0.25">
      <c r="A32" s="60"/>
      <c r="B32" s="10" t="s">
        <v>156</v>
      </c>
      <c r="C32" s="74" t="s">
        <v>162</v>
      </c>
      <c r="D32" s="4" t="s">
        <v>210</v>
      </c>
      <c r="E32" s="4" t="s">
        <v>211</v>
      </c>
      <c r="F32" s="4" t="s">
        <v>212</v>
      </c>
      <c r="G32" s="5" t="s">
        <v>161</v>
      </c>
      <c r="H32" s="208"/>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3188908</v>
      </c>
      <c r="D38" s="48">
        <f>SUM(D39:D42)</f>
        <v>0</v>
      </c>
      <c r="E38" s="48">
        <f>SUM(E39:E42)</f>
        <v>0</v>
      </c>
      <c r="F38" s="48">
        <f>SUM(F39:F42)</f>
        <v>0</v>
      </c>
      <c r="G38" s="49">
        <f>SUM(G39:G42)</f>
        <v>0</v>
      </c>
      <c r="H38" s="50">
        <f>SUM(C38:G38)</f>
        <v>3188908</v>
      </c>
      <c r="I38" s="7"/>
      <c r="J38" s="57"/>
      <c r="M38" s="1"/>
    </row>
    <row r="39" spans="1:13" ht="30" x14ac:dyDescent="0.25">
      <c r="A39" s="56"/>
      <c r="B39" s="8" t="s">
        <v>157</v>
      </c>
      <c r="C39" s="75">
        <v>3188908</v>
      </c>
      <c r="D39" s="76"/>
      <c r="E39" s="76"/>
      <c r="F39" s="76"/>
      <c r="G39" s="77"/>
      <c r="H39" s="9">
        <f>SUM(C39:G39)</f>
        <v>3188908</v>
      </c>
      <c r="I39" s="130"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27432639</v>
      </c>
      <c r="D43" s="48">
        <f>SUM(D44:D47)</f>
        <v>1251037.8</v>
      </c>
      <c r="E43" s="48">
        <f>SUM(E44:E47)</f>
        <v>6477415.2000000002</v>
      </c>
      <c r="F43" s="48">
        <f>SUM(F44:F47)</f>
        <v>0</v>
      </c>
      <c r="G43" s="49">
        <f>SUM(G44:G47)</f>
        <v>0</v>
      </c>
      <c r="H43" s="50">
        <f>SUM(C43:G43)</f>
        <v>35161092</v>
      </c>
      <c r="I43" s="7"/>
      <c r="J43" s="57"/>
      <c r="M43" s="1"/>
    </row>
    <row r="44" spans="1:13" x14ac:dyDescent="0.25">
      <c r="A44" s="56"/>
      <c r="B44" s="8" t="s">
        <v>157</v>
      </c>
      <c r="C44" s="75">
        <v>27395403</v>
      </c>
      <c r="D44" s="76">
        <v>1251037.8</v>
      </c>
      <c r="E44" s="76">
        <f>31911092-C44-D44</f>
        <v>3264651.2</v>
      </c>
      <c r="F44" s="76"/>
      <c r="G44" s="77"/>
      <c r="H44" s="9">
        <f>SUM(C44:G44)</f>
        <v>31911092</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221</v>
      </c>
      <c r="C46" s="75">
        <f>385+36851</f>
        <v>37236</v>
      </c>
      <c r="D46" s="76"/>
      <c r="E46" s="76">
        <f>3250000-D46-C46</f>
        <v>3212764</v>
      </c>
      <c r="F46" s="76"/>
      <c r="G46" s="77"/>
      <c r="H46" s="9">
        <f t="shared" ref="H46:H47" si="2">SUM(C46:G46)</f>
        <v>3250000</v>
      </c>
      <c r="I46" s="78" t="s">
        <v>220</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30621547</v>
      </c>
      <c r="D48" s="51">
        <f>D33+D38+D43</f>
        <v>1251037.8</v>
      </c>
      <c r="E48" s="51">
        <f>E33+E38+E43</f>
        <v>6477415.2000000002</v>
      </c>
      <c r="F48" s="51">
        <f>F33+F38+F43</f>
        <v>0</v>
      </c>
      <c r="G48" s="52">
        <f>G33+G38+G43</f>
        <v>0</v>
      </c>
      <c r="H48" s="53">
        <f>SUM(C48:G48)</f>
        <v>38350000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4" t="s">
        <v>101</v>
      </c>
      <c r="D51" s="214"/>
      <c r="E51" s="213" t="s">
        <v>70</v>
      </c>
      <c r="F51" s="213"/>
      <c r="G51" s="218" t="s">
        <v>141</v>
      </c>
      <c r="H51" s="218"/>
      <c r="I51" s="16"/>
      <c r="J51" s="57"/>
      <c r="M51" s="1"/>
    </row>
    <row r="52" spans="1:13" x14ac:dyDescent="0.25">
      <c r="A52" s="56"/>
      <c r="B52" s="15" t="s">
        <v>192</v>
      </c>
      <c r="C52" s="215">
        <v>0.15</v>
      </c>
      <c r="D52" s="216"/>
      <c r="E52" t="s">
        <v>71</v>
      </c>
      <c r="G52" s="217" t="s">
        <v>138</v>
      </c>
      <c r="H52" s="217"/>
      <c r="I52" s="16"/>
      <c r="J52" s="57"/>
      <c r="M52" s="1"/>
    </row>
    <row r="53" spans="1:13" x14ac:dyDescent="0.25">
      <c r="A53" s="56"/>
      <c r="B53" s="18" t="s">
        <v>148</v>
      </c>
      <c r="C53" s="217" t="s">
        <v>55</v>
      </c>
      <c r="D53" s="217"/>
      <c r="E53" s="19" t="s">
        <v>72</v>
      </c>
      <c r="F53" s="19"/>
      <c r="G53" s="217" t="s">
        <v>138</v>
      </c>
      <c r="H53" s="217"/>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2" t="s">
        <v>177</v>
      </c>
      <c r="C56" s="202"/>
      <c r="D56" s="202"/>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54110</v>
      </c>
      <c r="F57" s="81">
        <v>54110</v>
      </c>
      <c r="G57" s="82">
        <f>36712+23260</f>
        <v>59972</v>
      </c>
      <c r="H57" s="114">
        <f>IF($H$56=Lists!$D$8, IFERROR(F57-E57, ""), IF($H$56=Lists!$D$9, IFERROR(G57-E57, ""), IFERROR(G57-F57, "")))</f>
        <v>5862</v>
      </c>
      <c r="I57" s="83"/>
      <c r="J57" s="57"/>
      <c r="M57" s="1"/>
    </row>
    <row r="58" spans="1:13" x14ac:dyDescent="0.25">
      <c r="A58" s="56"/>
      <c r="B58" s="15" t="s">
        <v>42</v>
      </c>
      <c r="D58" s="16"/>
      <c r="E58" s="81">
        <v>38147</v>
      </c>
      <c r="F58" s="81">
        <v>38147</v>
      </c>
      <c r="G58" s="82"/>
      <c r="H58" s="114">
        <f>IF($H$56=Lists!$D$8, IFERROR(F58-E58, ""), IF($H$56=Lists!$D$9, IFERROR(G58-E58, ""), IFERROR(G58-F58, "")))</f>
        <v>-38147</v>
      </c>
      <c r="I58" s="83"/>
      <c r="J58" s="57"/>
      <c r="M58" s="1"/>
    </row>
    <row r="59" spans="1:13" x14ac:dyDescent="0.25">
      <c r="A59" s="56"/>
      <c r="B59" s="15" t="s">
        <v>43</v>
      </c>
      <c r="D59" s="16"/>
      <c r="E59" s="17">
        <f>IFERROR(E58/E57, "")</f>
        <v>0.70498983552023653</v>
      </c>
      <c r="F59" s="17">
        <f t="shared" ref="F59:G59" si="3">IFERROR(F58/F57, "")</f>
        <v>0.70498983552023653</v>
      </c>
      <c r="G59" s="17">
        <f t="shared" si="3"/>
        <v>0</v>
      </c>
      <c r="H59" s="115">
        <f t="shared" ref="H59" si="4">IFERROR(G59-F59, "")</f>
        <v>-0.70498983552023653</v>
      </c>
      <c r="I59" s="84"/>
      <c r="J59" s="57"/>
      <c r="M59" s="1"/>
    </row>
    <row r="60" spans="1:13" x14ac:dyDescent="0.25">
      <c r="A60" s="56"/>
      <c r="B60" s="15" t="s">
        <v>10</v>
      </c>
      <c r="D60" s="16"/>
      <c r="E60" s="81"/>
      <c r="F60" s="81"/>
      <c r="G60" s="82">
        <v>125000</v>
      </c>
      <c r="H60" s="116">
        <f>IF($H$56=Lists!$D$8, IFERROR(F60-E60, ""), IF($H$56=Lists!$D$9, IFERROR(G60-E60, ""), IFERROR(G60-F60, "")))</f>
        <v>125000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390.06442432082792</v>
      </c>
      <c r="F62" s="21">
        <f>IFERROR(F91/F57, "")</f>
        <v>370.74477915357608</v>
      </c>
      <c r="G62" s="21">
        <f>IFERROR(G91/G57, "")</f>
        <v>333.49178233175485</v>
      </c>
      <c r="H62" s="117">
        <f>IF($H$56=Lists!$D$8, IFERROR(F62-E62, ""), IF($H$56=Lists!$D$9, IFERROR(G62-E62, ""), IFERROR(G62-F62, "")))</f>
        <v>-37.252996821821228</v>
      </c>
      <c r="I62" s="86"/>
      <c r="J62" s="57"/>
      <c r="K62" s="87"/>
    </row>
    <row r="63" spans="1:13" x14ac:dyDescent="0.25">
      <c r="A63" s="56"/>
      <c r="B63" s="18" t="s">
        <v>163</v>
      </c>
      <c r="C63" s="19"/>
      <c r="D63" s="20"/>
      <c r="E63" s="22">
        <f>IFERROR(E97/E57, "")</f>
        <v>483.11519127702826</v>
      </c>
      <c r="F63" s="22">
        <f>IFERROR(F97/F57, "")</f>
        <v>448.19336536684534</v>
      </c>
      <c r="G63" s="22">
        <f>IFERROR(G97/G57, "")</f>
        <v>441.52374458080442</v>
      </c>
      <c r="H63" s="117">
        <f>IF($H$56=Lists!$D$8, IFERROR(F63-E63, ""), IF($H$56=Lists!$D$9, IFERROR(G63-E63, ""), IFERROR(G63-F63, "")))</f>
        <v>-6.6696207860409231</v>
      </c>
      <c r="I63" s="88"/>
      <c r="J63" s="57"/>
      <c r="K63" s="87"/>
    </row>
    <row r="64" spans="1:13" x14ac:dyDescent="0.25">
      <c r="A64" s="56"/>
      <c r="B64" s="219" t="s">
        <v>5</v>
      </c>
      <c r="C64" s="220"/>
      <c r="D64" s="220"/>
      <c r="E64" s="220"/>
      <c r="F64" s="220"/>
      <c r="G64" s="220"/>
      <c r="H64" s="220"/>
      <c r="I64" s="221"/>
      <c r="J64" s="57"/>
    </row>
    <row r="65" spans="1:10" x14ac:dyDescent="0.25">
      <c r="A65" s="56"/>
      <c r="B65" s="12" t="s">
        <v>6</v>
      </c>
      <c r="C65" s="13"/>
      <c r="D65" s="14"/>
      <c r="E65" s="89">
        <v>43435</v>
      </c>
      <c r="F65" s="89">
        <v>43435</v>
      </c>
      <c r="G65" s="90">
        <v>43567</v>
      </c>
      <c r="H65" s="114" t="str">
        <f>IF(SUM(E65:G65)=0, "", IF($H$56=Lists!$D$8, IFERROR(MROUND(CONVERT(F65-E65,"day","yr")*12, 0.5)&amp;" mo.", ""), IF($H$56=Lists!$D$9, IFERROR(MROUND(CONVERT(G65-E65,"day","yr")*12, 0.5)&amp;" mo.", ""), IFERROR(MROUND(CONVERT(G65-F65,"day","yr")*12, 0.5)&amp;" mo.", ""))))</f>
        <v>4.5 mo.</v>
      </c>
      <c r="I65" s="83" t="s">
        <v>222</v>
      </c>
      <c r="J65" s="57"/>
    </row>
    <row r="66" spans="1:10" x14ac:dyDescent="0.25">
      <c r="A66" s="56"/>
      <c r="B66" s="15" t="s">
        <v>7</v>
      </c>
      <c r="D66" s="16"/>
      <c r="E66" s="89">
        <v>43466</v>
      </c>
      <c r="F66" s="89">
        <v>43466</v>
      </c>
      <c r="G66" s="90">
        <v>43568</v>
      </c>
      <c r="H66" s="114" t="str">
        <f>IF(SUM(E66:G66)=0, "", IF($H$56=Lists!$D$8, IFERROR(MROUND(CONVERT(F66-E66,"day","yr")*12, 0.5)&amp;" mo.", ""), IF($H$56=Lists!$D$9, IFERROR(MROUND(CONVERT(G66-E66,"day","yr")*12, 0.5)&amp;" mo.", ""), IFERROR(MROUND(CONVERT(G66-F66,"day","yr")*12, 0.5)&amp;" mo.", ""))))</f>
        <v>3.5 mo.</v>
      </c>
      <c r="I66" s="83"/>
      <c r="J66" s="57"/>
    </row>
    <row r="67" spans="1:10" x14ac:dyDescent="0.25">
      <c r="A67" s="56"/>
      <c r="B67" s="15" t="s">
        <v>164</v>
      </c>
      <c r="D67" s="16"/>
      <c r="E67" s="89"/>
      <c r="F67" s="89">
        <v>44063</v>
      </c>
      <c r="G67" s="90">
        <v>44068</v>
      </c>
      <c r="H67" s="114" t="str">
        <f>IF(SUM(E67:G67)=0, "", IF($H$56=Lists!$D$8, IFERROR(MROUND(CONVERT(F67-E67,"day","yr")*12, 0.5)&amp;" mo.", ""), IF($H$56=Lists!$D$9, IFERROR(MROUND(CONVERT(G67-E67,"day","yr")*12, 0.5)&amp;" mo.", ""), IFERROR(MROUND(CONVERT(G67-F67,"day","yr")*12, 0.5)&amp;" mo.", ""))))</f>
        <v>0 mo.</v>
      </c>
      <c r="I67" s="83"/>
      <c r="J67" s="57"/>
    </row>
    <row r="68" spans="1:10" x14ac:dyDescent="0.25">
      <c r="A68" s="56"/>
      <c r="B68" s="15" t="s">
        <v>66</v>
      </c>
      <c r="D68" s="16"/>
      <c r="E68" s="89">
        <v>43922</v>
      </c>
      <c r="F68" s="89">
        <v>44070</v>
      </c>
      <c r="G68" s="90">
        <v>44132</v>
      </c>
      <c r="H68" s="114" t="str">
        <f>IF(SUM(E68:G68)=0, "", IF($H$56=Lists!$D$8, IFERROR(MROUND(CONVERT(F68-E68,"day","yr")*12, 0.5)&amp;" mo.", ""), IF($H$56=Lists!$D$9, IFERROR(MROUND(CONVERT(G68-E68,"day","yr")*12, 0.5)&amp;" mo.", ""), IFERROR(MROUND(CONVERT(G68-F68,"day","yr")*12, 0.5)&amp;" mo.", ""))))</f>
        <v>2 mo.</v>
      </c>
      <c r="I68" s="83"/>
      <c r="J68" s="57"/>
    </row>
    <row r="69" spans="1:10" x14ac:dyDescent="0.25">
      <c r="A69" s="56"/>
      <c r="B69" s="15" t="s">
        <v>8</v>
      </c>
      <c r="D69" s="16"/>
      <c r="E69" s="89">
        <v>44743</v>
      </c>
      <c r="F69" s="89">
        <v>44999</v>
      </c>
      <c r="G69" s="90">
        <v>45159</v>
      </c>
      <c r="H69" s="114" t="str">
        <f>IF(SUM(E69:G69)=0, "", IF($H$56=Lists!$D$8, IFERROR(MROUND(CONVERT(F69-E69,"day","yr")*12, 0.5)&amp;" mo.", ""), IF($H$56=Lists!$D$9, IFERROR(MROUND(CONVERT(G69-E69,"day","yr")*12, 0.5)&amp;" mo.", ""), IFERROR(MROUND(CONVERT(G69-F69,"day","yr")*12, 0.5)&amp;" mo.", ""))))</f>
        <v>5.5 mo.</v>
      </c>
      <c r="I69" s="83" t="s">
        <v>226</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t="s">
        <v>225</v>
      </c>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4"/>
      <c r="J73" s="57"/>
    </row>
    <row r="74" spans="1:10" ht="75" customHeight="1" x14ac:dyDescent="0.25">
      <c r="A74" s="56"/>
      <c r="B74" s="202" t="s">
        <v>177</v>
      </c>
      <c r="C74" s="202"/>
      <c r="D74" s="202"/>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0" t="s">
        <v>50</v>
      </c>
      <c r="C76" s="211"/>
      <c r="D76" s="21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7">
        <v>274920</v>
      </c>
      <c r="F79" s="97">
        <v>247134</v>
      </c>
      <c r="G79" s="98">
        <v>274920</v>
      </c>
      <c r="H79" s="31">
        <f>IF($H$56=Lists!$D$8, IFERROR(F79-E79, ""), IF($H$56=Lists!$D$9, IFERROR(G79-E79, ""), IFERROR(G79-F79, "")))</f>
        <v>27786</v>
      </c>
      <c r="I79" s="83"/>
      <c r="J79" s="57"/>
    </row>
    <row r="80" spans="1:10" x14ac:dyDescent="0.25">
      <c r="A80" s="56"/>
      <c r="B80" s="15" t="s">
        <v>165</v>
      </c>
      <c r="D80" s="16"/>
      <c r="E80" s="97">
        <v>1557188</v>
      </c>
      <c r="F80" s="97">
        <v>1600717</v>
      </c>
      <c r="G80" s="98">
        <v>2276260.02</v>
      </c>
      <c r="H80" s="31">
        <f>IF($H$56=Lists!$D$8, IFERROR(F80-E80, ""), IF($H$56=Lists!$D$9, IFERROR(G80-E80, ""), IFERROR(G80-F80, "")))</f>
        <v>675543.02</v>
      </c>
      <c r="I80" s="83"/>
      <c r="J80" s="57"/>
    </row>
    <row r="81" spans="1:10" x14ac:dyDescent="0.25">
      <c r="A81" s="56"/>
      <c r="B81" s="15" t="s">
        <v>167</v>
      </c>
      <c r="D81" s="16"/>
      <c r="E81" s="97">
        <v>1255716</v>
      </c>
      <c r="F81" s="97">
        <v>905707</v>
      </c>
      <c r="G81" s="98">
        <v>205982.7</v>
      </c>
      <c r="H81" s="31">
        <f>IF($H$56=Lists!$D$8, IFERROR(F81-E81, ""), IF($H$56=Lists!$D$9, IFERROR(G81-E81, ""), IFERROR(G81-F81, "")))</f>
        <v>-699724.3</v>
      </c>
      <c r="I81" s="83"/>
      <c r="J81" s="57"/>
    </row>
    <row r="82" spans="1:10" x14ac:dyDescent="0.25">
      <c r="A82" s="56"/>
      <c r="B82" s="15" t="s">
        <v>166</v>
      </c>
      <c r="D82" s="16"/>
      <c r="E82" s="97">
        <v>761540</v>
      </c>
      <c r="F82" s="97">
        <f>580554*1.2231</f>
        <v>710075.59740000009</v>
      </c>
      <c r="G82" s="97">
        <v>1123785.44</v>
      </c>
      <c r="H82" s="31">
        <f>IF($H$56=Lists!$D$8, IFERROR(F82-E82, ""), IF($H$56=Lists!$D$9, IFERROR(G82-E82, ""), IFERROR(G82-F82, "")))</f>
        <v>413709.84259999986</v>
      </c>
      <c r="I82" s="83"/>
      <c r="J82" s="57"/>
    </row>
    <row r="83" spans="1:10" x14ac:dyDescent="0.25">
      <c r="A83" s="56"/>
      <c r="B83" s="15" t="s">
        <v>168</v>
      </c>
      <c r="D83" s="16"/>
      <c r="E83" s="97">
        <v>324712</v>
      </c>
      <c r="F83" s="97">
        <f>1600496-F82</f>
        <v>890420.40259999991</v>
      </c>
      <c r="G83" s="97">
        <v>300574.74</v>
      </c>
      <c r="H83" s="32">
        <f>IF($H$56=Lists!$D$8, IFERROR(F83-E83, ""), IF($H$56=Lists!$D$9, IFERROR(G83-E83, ""), IFERROR(G83-F83, "")))</f>
        <v>-589845.66259999992</v>
      </c>
      <c r="I83" s="83"/>
      <c r="J83" s="57"/>
    </row>
    <row r="84" spans="1:10" x14ac:dyDescent="0.25">
      <c r="A84" s="56"/>
      <c r="B84" s="15" t="s">
        <v>13</v>
      </c>
      <c r="D84" s="16"/>
      <c r="E84" s="97">
        <v>611583</v>
      </c>
      <c r="F84" s="97">
        <v>450100</v>
      </c>
      <c r="G84" s="98"/>
      <c r="H84" s="31">
        <f>IF($H$56=Lists!$D$8, IFERROR(F84-E84, ""), IF($H$56=Lists!$D$9, IFERROR(G84-E84, ""), IFERROR(G84-F84, "")))</f>
        <v>-450100</v>
      </c>
      <c r="I84" s="99"/>
      <c r="J84" s="57"/>
    </row>
    <row r="85" spans="1:10" x14ac:dyDescent="0.25">
      <c r="A85" s="56"/>
      <c r="B85" s="154" t="s">
        <v>14</v>
      </c>
      <c r="C85" s="155"/>
      <c r="D85" s="156"/>
      <c r="E85" s="34">
        <f>SUM(E79:E84)</f>
        <v>4785659</v>
      </c>
      <c r="F85" s="34">
        <f>SUM(F79:F84)</f>
        <v>4804154</v>
      </c>
      <c r="G85" s="34">
        <f>SUM(G79:G84)</f>
        <v>4181522.9000000004</v>
      </c>
      <c r="H85" s="35">
        <f>IF($H$56=Lists!$D$8, IFERROR(F85-E85, ""), IF($H$56=Lists!$D$9, IFERROR(G85-E85, ""), IFERROR(G85-F85, "")))</f>
        <v>-622631.09999999963</v>
      </c>
      <c r="I85" s="100"/>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7">
        <v>2756933</v>
      </c>
      <c r="F88" s="97">
        <v>0</v>
      </c>
      <c r="G88" s="98">
        <v>1644788</v>
      </c>
      <c r="H88" s="36">
        <f>IF($H$56=Lists!$D$8, IFERROR(F88-E88, ""), IF($H$56=Lists!$D$9, IFERROR(G88-E88, ""), IFERROR(G88-F88, "")))</f>
        <v>1644788</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18349453</v>
      </c>
      <c r="F90" s="97">
        <v>20061000</v>
      </c>
      <c r="G90" s="97">
        <v>18355381.170000002</v>
      </c>
      <c r="H90" s="37">
        <f>IF($H$56=Lists!$D$8, IFERROR(F90-E90, ""), IF($H$56=Lists!$D$9, IFERROR(G90-E90, ""), IFERROR(G90-F90, "")))</f>
        <v>-1705618.8299999982</v>
      </c>
      <c r="I90" s="99"/>
      <c r="J90" s="57"/>
    </row>
    <row r="91" spans="1:10" x14ac:dyDescent="0.25">
      <c r="A91" s="56"/>
      <c r="B91" s="151" t="s">
        <v>51</v>
      </c>
      <c r="C91" s="152"/>
      <c r="D91" s="153"/>
      <c r="E91" s="38">
        <f>SUM(E88:E90)</f>
        <v>21106386</v>
      </c>
      <c r="F91" s="38">
        <f t="shared" ref="F91:G91" si="5">SUM(F88:F90)</f>
        <v>20061000</v>
      </c>
      <c r="G91" s="38">
        <f t="shared" si="5"/>
        <v>20000169.170000002</v>
      </c>
      <c r="H91" s="36">
        <f>IF($H$56=Lists!$D$8, IFERROR(F91-E91, ""), IF($H$56=Lists!$D$9, IFERROR(G91-E91, ""), IFERROR(G91-F91, "")))</f>
        <v>-60830.829999998212</v>
      </c>
      <c r="I91" s="100"/>
      <c r="J91" s="57"/>
    </row>
    <row r="92" spans="1:10" x14ac:dyDescent="0.25">
      <c r="A92" s="56"/>
      <c r="B92" s="15" t="s">
        <v>48</v>
      </c>
      <c r="D92" s="16"/>
      <c r="E92" s="97">
        <v>2680113</v>
      </c>
      <c r="F92" s="97">
        <v>2006100</v>
      </c>
      <c r="G92" s="98">
        <v>4075967.31</v>
      </c>
      <c r="H92" s="36">
        <f>IF($H$56=Lists!$D$8, IFERROR(F92-E92, ""), IF($H$56=Lists!$D$9, IFERROR(G92-E92, ""), IFERROR(G92-F92, "")))</f>
        <v>2069867.31</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2354864</v>
      </c>
      <c r="F94" s="97">
        <v>2184643</v>
      </c>
      <c r="G94" s="97">
        <v>2402925.5299999998</v>
      </c>
      <c r="H94" s="36">
        <f>IF($H$56=Lists!$D$8, IFERROR(F94-E94, ""), IF($H$56=Lists!$D$9, IFERROR(G94-E94, ""), IFERROR(G94-F94, "")))</f>
        <v>218282.5299999998</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4" t="s">
        <v>52</v>
      </c>
      <c r="C97" s="155"/>
      <c r="D97" s="156"/>
      <c r="E97" s="38">
        <f>SUM(E91:E96)</f>
        <v>26141363</v>
      </c>
      <c r="F97" s="38">
        <f t="shared" ref="F97:G97" si="6">SUM(F91:F96)</f>
        <v>24251743</v>
      </c>
      <c r="G97" s="38">
        <f t="shared" si="6"/>
        <v>26479062.010000002</v>
      </c>
      <c r="H97" s="39">
        <f>IF($H$56=Lists!$D$8, IFERROR(F97-E97, ""), IF($H$56=Lists!$D$9, IFERROR(G97-E97, ""), IFERROR(G97-F97, "")))</f>
        <v>2227319.0100000016</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101">
        <v>4432171</v>
      </c>
      <c r="F100" s="101">
        <v>4726703</v>
      </c>
      <c r="G100" s="102">
        <v>1468569.75</v>
      </c>
      <c r="H100" s="41">
        <f>IF($H$56=Lists!$D$8, IFERROR(F100-E100, ""), IF($H$56=Lists!$D$9, IFERROR(G100-E100, ""), IFERROR(G100-F100, "")))</f>
        <v>-3258133.25</v>
      </c>
      <c r="I100" s="103"/>
      <c r="J100" s="104"/>
    </row>
    <row r="101" spans="1:10" x14ac:dyDescent="0.25">
      <c r="A101" s="56"/>
      <c r="B101" s="40" t="s">
        <v>18</v>
      </c>
      <c r="D101" s="16"/>
      <c r="E101" s="101">
        <v>105532</v>
      </c>
      <c r="F101" s="101">
        <v>98006</v>
      </c>
      <c r="G101" s="102">
        <v>98006</v>
      </c>
      <c r="H101" s="41">
        <f>IF($H$56=Lists!$D$8, IFERROR(F101-E101, ""), IF($H$56=Lists!$D$9, IFERROR(G101-E101, ""), IFERROR(G101-F101, "")))</f>
        <v>0</v>
      </c>
      <c r="I101" s="103"/>
      <c r="J101" s="104"/>
    </row>
    <row r="102" spans="1:10" x14ac:dyDescent="0.25">
      <c r="A102" s="56"/>
      <c r="B102" s="40" t="s">
        <v>53</v>
      </c>
      <c r="D102" s="16"/>
      <c r="E102" s="97">
        <v>310055</v>
      </c>
      <c r="F102" s="97">
        <v>464710</v>
      </c>
      <c r="G102" s="98">
        <v>575579.5</v>
      </c>
      <c r="H102" s="42">
        <f>IF($H$56=Lists!$D$8, IFERROR(F102-E102, ""), IF($H$56=Lists!$D$9, IFERROR(G102-E102, ""), IFERROR(G102-F102, "")))</f>
        <v>110869.5</v>
      </c>
      <c r="I102" s="83"/>
      <c r="J102" s="57"/>
    </row>
    <row r="103" spans="1:10" x14ac:dyDescent="0.25">
      <c r="A103" s="56"/>
      <c r="B103" s="40" t="s">
        <v>147</v>
      </c>
      <c r="D103" s="16"/>
      <c r="E103" s="97">
        <v>767974</v>
      </c>
      <c r="F103" s="97">
        <v>791121</v>
      </c>
      <c r="G103" s="105">
        <v>225402.28</v>
      </c>
      <c r="H103" s="43">
        <f>IF($H$56=Lists!$D$8, IFERROR(F103-E103, ""), IF($H$56=Lists!$D$9, IFERROR(G103-E103, ""), IFERROR(G103-F103, "")))</f>
        <v>-565718.72</v>
      </c>
      <c r="I103" s="103" t="s">
        <v>224</v>
      </c>
      <c r="J103" s="104"/>
    </row>
    <row r="104" spans="1:10" ht="15.75" thickBot="1" x14ac:dyDescent="0.3">
      <c r="A104" s="56"/>
      <c r="B104" s="157" t="s">
        <v>54</v>
      </c>
      <c r="C104" s="158"/>
      <c r="D104" s="159"/>
      <c r="E104" s="44">
        <f>SUM(E100:E103)</f>
        <v>5615732</v>
      </c>
      <c r="F104" s="44">
        <f>SUM(F100:F103)</f>
        <v>6080540</v>
      </c>
      <c r="G104" s="44">
        <f>SUM(G100:G103)</f>
        <v>2367557.5299999998</v>
      </c>
      <c r="H104" s="39">
        <f>IF($H$56=Lists!$D$8, IFERROR(F104-E104, ""), IF($H$56=Lists!$D$9, IFERROR(G104-E104, ""), IFERROR(G104-F104, "")))</f>
        <v>-3712982.47</v>
      </c>
      <c r="I104" s="106"/>
      <c r="J104" s="104"/>
    </row>
    <row r="105" spans="1:10" ht="20.25" thickTop="1" thickBot="1" x14ac:dyDescent="0.35">
      <c r="A105" s="56"/>
      <c r="B105" s="107" t="s">
        <v>145</v>
      </c>
      <c r="C105" s="108"/>
      <c r="D105" s="108"/>
      <c r="E105" s="109">
        <f>SUM(E76,E85,E97,E104)</f>
        <v>36542754</v>
      </c>
      <c r="F105" s="109">
        <f>SUM(F76,F85,F97,F104)</f>
        <v>35136437</v>
      </c>
      <c r="G105" s="109">
        <f>SUM(G76,G85,G97,G104)</f>
        <v>33028142.440000005</v>
      </c>
      <c r="H105" s="109">
        <f>SUM(H76,H85,H97,H104)</f>
        <v>-2108294.5599999982</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170"/>
      <c r="D108" s="170"/>
      <c r="E108" s="170" t="str">
        <f>IF(ReportType=Lists!$O$2, "", "NOTES")</f>
        <v/>
      </c>
      <c r="F108" s="170"/>
      <c r="G108" s="170"/>
      <c r="H108" s="170"/>
      <c r="I108" s="171"/>
      <c r="J108" s="61"/>
    </row>
    <row r="109" spans="1:10" ht="15" customHeight="1" x14ac:dyDescent="0.25">
      <c r="A109" s="56"/>
      <c r="B109" s="80" t="str">
        <f>IF(ReportType=Lists!$O$2, "", "Number of Change Orders")</f>
        <v/>
      </c>
      <c r="C109" s="163"/>
      <c r="D109" s="164"/>
      <c r="E109" s="167"/>
      <c r="F109" s="168"/>
      <c r="G109" s="168"/>
      <c r="H109" s="168"/>
      <c r="I109" s="169"/>
      <c r="J109" s="57"/>
    </row>
    <row r="110" spans="1:10" ht="15" customHeight="1" x14ac:dyDescent="0.25">
      <c r="A110" s="56"/>
      <c r="B110" s="80" t="str">
        <f>IF(ReportType=Lists!$O$2, "", "Total Value of Change Orders")</f>
        <v/>
      </c>
      <c r="C110" s="175"/>
      <c r="D110" s="176"/>
      <c r="E110" s="120"/>
      <c r="F110" s="121"/>
      <c r="G110" s="121"/>
      <c r="H110" s="121"/>
      <c r="I110" s="122"/>
      <c r="J110" s="57"/>
    </row>
    <row r="111" spans="1:10" ht="15" customHeight="1" x14ac:dyDescent="0.25">
      <c r="A111" s="56"/>
      <c r="B111" s="80" t="str">
        <f>IF(ReportType=Lists!$O$2, "", "Outstanding Liabilities")</f>
        <v/>
      </c>
      <c r="C111" s="175"/>
      <c r="D111" s="176"/>
      <c r="E111" s="120"/>
      <c r="F111" s="121"/>
      <c r="G111" s="121"/>
      <c r="H111" s="121"/>
      <c r="I111" s="122"/>
      <c r="J111" s="57"/>
    </row>
    <row r="112" spans="1:10" x14ac:dyDescent="0.25">
      <c r="A112" s="56"/>
      <c r="B112" s="18" t="str">
        <f>IF(ReportType=Lists!$O$2, "", "Unsettled Claims")</f>
        <v/>
      </c>
      <c r="C112" s="165"/>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223</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1"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AA6700E-C1CC-4AC1-AD59-74735A3E39CF}"/>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1BF2-EAB2-4E16-9FB1-9FC32D5DD25F}">
  <dimension ref="A1:AE3"/>
  <sheetViews>
    <sheetView showGridLines="0" topLeftCell="B1" zoomScaleNormal="100" workbookViewId="0">
      <selection activeCell="W83" sqref="W83"/>
    </sheetView>
  </sheetViews>
  <sheetFormatPr defaultColWidth="8.4257812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31" zoomScaleNormal="100" workbookViewId="0">
      <selection activeCell="U52" sqref="U52"/>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2024-06-18T20:27:17Z</dcterms:modified>
</cp:coreProperties>
</file>