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128C58AD-1455-4A40-9349-77A14CF6C79D}" xr6:coauthVersionLast="36" xr6:coauthVersionMax="36" xr10:uidLastSave="{00000000-0000-0000-0000-000000000000}"/>
  <bookViews>
    <workbookView xWindow="0" yWindow="0" windowWidth="24000" windowHeight="9525"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E39" i="3" l="1"/>
  <c r="C38" i="3" l="1"/>
  <c r="G85" i="3"/>
  <c r="F83" i="3" l="1"/>
  <c r="E83" i="3"/>
  <c r="F82" i="3"/>
  <c r="E82"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4" i="3"/>
  <c r="G43" i="3"/>
  <c r="F43" i="3"/>
  <c r="E43" i="3"/>
  <c r="D43" i="3"/>
  <c r="C43" i="3"/>
  <c r="G38" i="3"/>
  <c r="F38" i="3"/>
  <c r="D38" i="3"/>
  <c r="D33" i="3"/>
  <c r="E33" i="3"/>
  <c r="F33" i="3"/>
  <c r="G33" i="3"/>
  <c r="C33" i="3"/>
  <c r="H43" i="3" l="1"/>
  <c r="H33" i="3"/>
  <c r="D48" i="3"/>
  <c r="C48" i="3"/>
  <c r="G48" i="3"/>
  <c r="F48" i="3"/>
  <c r="F104" i="3"/>
  <c r="G104" i="3"/>
  <c r="H104" i="3" s="1"/>
  <c r="F85" i="3" l="1"/>
  <c r="E104" i="3"/>
  <c r="H85" i="3" l="1"/>
  <c r="E85" i="3"/>
  <c r="H105" i="3" l="1"/>
  <c r="E62" i="3"/>
  <c r="E105" i="3"/>
  <c r="E63" i="3"/>
  <c r="G62" i="3"/>
  <c r="F62" i="3"/>
  <c r="F63" i="3"/>
  <c r="G105" i="3"/>
  <c r="G63" i="3"/>
  <c r="H62" i="3" l="1"/>
  <c r="H63" i="3"/>
  <c r="F105" i="3"/>
  <c r="E38" i="3"/>
  <c r="H38" i="3" s="1"/>
  <c r="H39" i="3"/>
  <c r="E48" i="3" l="1"/>
  <c r="H48" i="3" s="1"/>
</calcChain>
</file>

<file path=xl/sharedStrings.xml><?xml version="1.0" encoding="utf-8"?>
<sst xmlns="http://schemas.openxmlformats.org/spreadsheetml/2006/main" count="244" uniqueCount="223">
  <si>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</si>
  <si>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</si>
  <si>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</si>
  <si>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</si>
  <si>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</si>
  <si>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</si>
  <si>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</si>
  <si>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</si>
  <si>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</si>
  <si>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</si>
  <si>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</si>
  <si>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</si>
  <si>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</si>
  <si>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</si>
  <si>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</si>
  <si>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</si>
  <si>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</si>
  <si>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</si>
  <si>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</si>
  <si>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</si>
  <si>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</si>
  <si>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</si>
  <si>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</si>
  <si>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</si>
  <si>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</si>
  <si>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</si>
  <si>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</si>
  <si>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</si>
  <si>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</si>
  <si>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</si>
  <si>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</si>
  <si>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</si>
  <si>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</si>
  <si>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</si>
  <si>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</si>
  <si>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</si>
  <si>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</si>
  <si>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</si>
  <si>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</si>
  <si>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</si>
  <si>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</si>
  <si>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</si>
  <si>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</si>
  <si>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</si>
  <si>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</si>
  <si>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</si>
  <si>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</si>
  <si>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</si>
  <si>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</si>
  <si>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</si>
  <si>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</si>
  <si>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</si>
  <si>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</si>
  <si>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</si>
  <si>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</si>
  <si>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</si>
  <si>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</si>
  <si>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</si>
  <si>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</si>
  <si>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</si>
  <si>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</si>
  <si>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</si>
  <si>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</si>
  <si>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</si>
  <si>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</si>
  <si>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</si>
  <si>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</si>
  <si>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</si>
  <si>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</si>
  <si>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</si>
  <si>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</si>
  <si>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</si>
  <si>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</si>
  <si>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</si>
  <si>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</si>
  <si>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</si>
  <si>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</si>
  <si>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</si>
  <si>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</si>
  <si>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</si>
  <si>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</si>
  <si>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</si>
  <si>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</si>
  <si>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</si>
  <si>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</si>
  <si>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</si>
  <si>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</si>
  <si>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</si>
  <si>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</si>
  <si>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</si>
  <si>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</si>
  <si>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</si>
  <si>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</si>
  <si>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</si>
  <si>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</si>
  <si>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</si>
  <si>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</si>
  <si>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</si>
  <si>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</si>
  <si>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</si>
  <si>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</si>
  <si>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</si>
  <si>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</si>
  <si>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</si>
  <si>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</si>
  <si>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</si>
  <si>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</si>
  <si>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</si>
  <si>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</si>
  <si>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</si>
  <si>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</si>
  <si>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</si>
  <si>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</si>
  <si>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</si>
  <si>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</si>
  <si>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</si>
  <si>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</si>
  <si>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</si>
  <si>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</si>
  <si>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</si>
  <si>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</si>
  <si>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</si>
  <si>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</si>
  <si>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</si>
  <si>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</si>
  <si>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</si>
  <si>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</si>
  <si>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</si>
  <si>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</si>
  <si>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</si>
  <si>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</si>
  <si>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</si>
  <si>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</si>
  <si>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</si>
  <si>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</si>
  <si>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</si>
  <si>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</si>
  <si>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</si>
  <si>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</si>
  <si>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</si>
  <si>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</si>
  <si>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</si>
  <si>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</si>
  <si>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</si>
  <si>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</si>
  <si>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</si>
  <si>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</si>
  <si>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</si>
  <si>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</si>
  <si>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</si>
  <si>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</si>
  <si>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</si>
  <si>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</si>
  <si>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</si>
  <si>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</si>
  <si>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</si>
  <si>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</si>
  <si>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</si>
  <si>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</si>
  <si>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</si>
  <si>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</si>
  <si>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</si>
  <si>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</si>
  <si>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</si>
  <si>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</si>
  <si>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</si>
  <si>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</si>
  <si>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</si>
  <si>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</si>
  <si>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</si>
  <si>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</si>
  <si>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</si>
  <si>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</si>
  <si>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</si>
  <si>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</si>
  <si>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</si>
  <si>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</si>
  <si>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</si>
  <si>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</si>
  <si>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</si>
  <si>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</si>
  <si>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</si>
  <si>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</si>
  <si>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</si>
  <si>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</si>
  <si>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</si>
  <si>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</si>
  <si>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</si>
  <si>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</si>
  <si>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</si>
  <si>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</si>
  <si>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</si>
  <si>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</si>
  <si>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</si>
  <si>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</si>
  <si>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</si>
  <si>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</si>
  <si>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</si>
  <si>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</si>
  <si>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</si>
  <si>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</si>
  <si>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</si>
  <si>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</si>
  <si>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</si>
  <si>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</si>
  <si>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</si>
  <si>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</si>
  <si>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</si>
  <si>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</si>
  <si>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</si>
  <si>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</si>
  <si>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</si>
  <si>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</si>
  <si>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</si>
  <si>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Renton Technical College Health Sciences Center</t>
  </si>
  <si>
    <t xml:space="preserve">Services necessary to produce Pre-Design and Design documents and plan necessary for a new 56,525 SF, 3-story new Health Sciences Center on a 4.7-acre parcel directly across 4th Street from the main campus. The Center is to accommodate the following programs: Anesthesia Technologist,Central Service Technician, Dental Assistant, Massage Therapy Practitioner, Medical Assistant, Nursing Programs, Pharmacy Technician, MA-Phlebotomy Technician, Surgical Technologists, Veterinary Assistant, and associated site development. </t>
  </si>
  <si>
    <t>C15</t>
  </si>
  <si>
    <t>Future</t>
  </si>
  <si>
    <t>Mark Daniels</t>
  </si>
  <si>
    <t>mdaniels@rtc.edu</t>
  </si>
  <si>
    <t>(425) 235-6574</t>
  </si>
  <si>
    <t>Schematic Design has been completed and the SD package including plans, narrative and estimate in accordance with the Conditions of the Agreement has been reviewed by the Owner.  Potential challenges include cost per SF; street, ROW and AJH development requirements; and parking development requirements by the City of Renton.   These challenges have been identified as potential cost increases and risks.  Programs have been removed from the project to align scope and budget.  The college is looking at the feasibility of revising the project to move to the Building H location, which would entail a substantial renovation.  The existing structure is outdated, but structurally sound and has a larger floor plate area, which could provide enough space to fully meet the program needs of the health sciences programs.  Additionally, this existing interior campus site would significantly reduce site development costs and jurisdictional requirements.  This location provides an opportunity to improve utilization and has close adjacency to other services in the center of campus.  The college has contracted the design team for initial assessment work, which will be completed in early 2024.</t>
  </si>
  <si>
    <t>Wa Arts Commission December 2023: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</si>
</sst>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0" fillId="0" borderId="0" xfId="0" applyNumberForma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49" fontId="0" fillId="0" borderId="14" xfId="0" applyNumberFormat="1" applyFon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9">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daniels@r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178</v>
      </c>
      <c r="C1" s="133"/>
      <c r="D1" s="133"/>
      <c r="E1" s="133"/>
      <c r="F1" s="133"/>
      <c r="G1" s="133"/>
      <c r="H1" s="133"/>
      <c r="I1" s="133"/>
      <c r="J1" s="133"/>
      <c r="K1" s="133"/>
      <c r="L1" s="55"/>
    </row>
    <row r="2" spans="1:12" ht="21.75" thickBot="1" x14ac:dyDescent="0.4">
      <c r="A2" s="91"/>
      <c r="B2" s="134" t="s">
        <v>179</v>
      </c>
      <c r="C2" s="134"/>
      <c r="D2" s="134"/>
      <c r="E2" s="134"/>
      <c r="F2" s="134"/>
      <c r="G2" s="134"/>
      <c r="H2" s="134"/>
      <c r="I2" s="134"/>
      <c r="J2" s="134"/>
      <c r="K2" s="134"/>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5" t="s">
        <v>182</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181</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184</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180</v>
      </c>
      <c r="C23" s="13"/>
      <c r="D23" s="13"/>
      <c r="E23" s="13"/>
      <c r="F23" s="13"/>
      <c r="G23" s="13"/>
      <c r="H23" s="13"/>
      <c r="I23" s="13"/>
      <c r="J23" s="13"/>
      <c r="K23" s="14"/>
    </row>
    <row r="24" spans="2:11" x14ac:dyDescent="0.25">
      <c r="B24" s="135" t="s">
        <v>196</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185</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1" t="s">
        <v>188</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191</v>
      </c>
      <c r="C37" s="131" t="s">
        <v>200</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201</v>
      </c>
      <c r="C40" s="131" t="s">
        <v>202</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203</v>
      </c>
      <c r="C43" s="131" t="s">
        <v>204</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205</v>
      </c>
      <c r="C45" s="131" t="s">
        <v>207</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106" zoomScaleNormal="100" workbookViewId="0">
      <selection activeCell="B135" sqref="B135"/>
    </sheetView>
  </sheetViews>
  <sheetFormatPr defaultColWidth="9.140625" defaultRowHeight="15" x14ac:dyDescent="0.25"/>
  <cols>
    <col min="1" max="1" width="1.5703125" customWidth="1"/>
    <col min="2" max="2" width="35.42578125" customWidth="1"/>
    <col min="3" max="7" width="14.5703125" customWidth="1"/>
    <col min="8" max="8" width="17.85546875" customWidth="1"/>
    <col min="9" max="9" width="14.5703125" customWidth="1"/>
    <col min="10" max="10" width="1.5703125" customWidth="1"/>
  </cols>
  <sheetData>
    <row r="1" spans="1:13" ht="21.75" thickTop="1" x14ac:dyDescent="0.35">
      <c r="A1" s="54"/>
      <c r="B1" s="188" t="s">
        <v>57</v>
      </c>
      <c r="C1" s="188"/>
      <c r="D1" s="188"/>
      <c r="E1" s="188"/>
      <c r="F1" s="188"/>
      <c r="G1" s="188"/>
      <c r="H1" s="188"/>
      <c r="I1" s="188"/>
      <c r="J1" s="55"/>
    </row>
    <row r="2" spans="1:13" x14ac:dyDescent="0.25">
      <c r="A2" s="56"/>
      <c r="B2" s="129"/>
      <c r="C2" s="129"/>
      <c r="D2" s="129"/>
      <c r="E2" s="129" t="s">
        <v>209</v>
      </c>
      <c r="F2" s="129"/>
      <c r="G2" s="129"/>
      <c r="H2" s="129"/>
      <c r="I2" s="129"/>
      <c r="J2" s="57"/>
    </row>
    <row r="3" spans="1:13" ht="21" x14ac:dyDescent="0.35">
      <c r="A3" s="56"/>
      <c r="B3" s="189" t="s">
        <v>171</v>
      </c>
      <c r="C3" s="189"/>
      <c r="D3" s="189"/>
      <c r="E3" s="189"/>
      <c r="F3" s="189"/>
      <c r="G3" s="189"/>
      <c r="H3" s="189"/>
      <c r="I3" s="189"/>
      <c r="J3" s="57"/>
    </row>
    <row r="4" spans="1:13" ht="21" customHeight="1" x14ac:dyDescent="0.35">
      <c r="A4" s="58"/>
      <c r="B4" s="194" t="s">
        <v>213</v>
      </c>
      <c r="C4" s="194"/>
      <c r="D4" s="194"/>
      <c r="E4" s="194"/>
      <c r="F4" s="194"/>
      <c r="G4" s="194"/>
      <c r="H4" s="194"/>
      <c r="I4" s="194"/>
      <c r="J4" s="59"/>
    </row>
    <row r="5" spans="1:13" s="1" customFormat="1" x14ac:dyDescent="0.25">
      <c r="A5" s="60"/>
      <c r="B5" t="s">
        <v>59</v>
      </c>
      <c r="C5" s="172">
        <v>699</v>
      </c>
      <c r="D5" s="172"/>
      <c r="E5" s="172"/>
      <c r="F5" s="172"/>
      <c r="G5" s="172"/>
      <c r="H5" s="172"/>
      <c r="J5" s="61"/>
    </row>
    <row r="6" spans="1:13" s="1" customFormat="1" x14ac:dyDescent="0.25">
      <c r="A6" s="60"/>
      <c r="B6" t="s">
        <v>60</v>
      </c>
      <c r="C6" s="191" t="s">
        <v>214</v>
      </c>
      <c r="D6" s="192"/>
      <c r="E6" s="192"/>
      <c r="F6" s="192"/>
      <c r="G6" s="192"/>
      <c r="H6" s="193"/>
      <c r="J6" s="61"/>
    </row>
    <row r="7" spans="1:13" s="1" customFormat="1" ht="15.75" thickBot="1" x14ac:dyDescent="0.3">
      <c r="A7" s="62"/>
      <c r="B7" s="63" t="s">
        <v>143</v>
      </c>
      <c r="C7" s="190">
        <v>40000204</v>
      </c>
      <c r="D7" s="190"/>
      <c r="E7" s="190"/>
      <c r="F7" s="190"/>
      <c r="G7" s="190"/>
      <c r="H7" s="190"/>
      <c r="I7" s="64"/>
      <c r="J7" s="65"/>
    </row>
    <row r="8" spans="1:13" s="1" customFormat="1" ht="9.9499999999999993" customHeight="1" thickTop="1" x14ac:dyDescent="0.25">
      <c r="A8" s="60"/>
      <c r="B8"/>
      <c r="C8"/>
      <c r="D8" s="45"/>
      <c r="J8" s="61"/>
    </row>
    <row r="9" spans="1:13" s="1" customFormat="1" x14ac:dyDescent="0.25">
      <c r="A9" s="60"/>
      <c r="B9" s="151" t="s">
        <v>61</v>
      </c>
      <c r="C9" s="152"/>
      <c r="D9" s="152"/>
      <c r="E9" s="152"/>
      <c r="F9" s="152"/>
      <c r="G9" s="152"/>
      <c r="H9" s="152"/>
      <c r="I9" s="153"/>
      <c r="J9" s="61"/>
    </row>
    <row r="10" spans="1:13" s="1" customFormat="1" x14ac:dyDescent="0.25">
      <c r="A10" s="60"/>
      <c r="B10" s="15" t="s">
        <v>62</v>
      </c>
      <c r="C10" s="172" t="s">
        <v>218</v>
      </c>
      <c r="D10" s="172"/>
      <c r="E10" s="172"/>
      <c r="F10" s="172"/>
      <c r="G10" s="172"/>
      <c r="H10" s="172"/>
      <c r="I10" s="66"/>
      <c r="J10" s="61"/>
    </row>
    <row r="11" spans="1:13" s="1" customFormat="1" x14ac:dyDescent="0.25">
      <c r="A11" s="60"/>
      <c r="B11" s="15" t="s">
        <v>63</v>
      </c>
      <c r="C11" s="173" t="s">
        <v>220</v>
      </c>
      <c r="D11" s="173"/>
      <c r="E11" s="173"/>
      <c r="F11" s="173"/>
      <c r="G11" s="173"/>
      <c r="H11" s="173"/>
      <c r="I11" s="66"/>
      <c r="J11" s="61"/>
    </row>
    <row r="12" spans="1:13" s="1" customFormat="1" x14ac:dyDescent="0.25">
      <c r="A12" s="60"/>
      <c r="B12" s="18" t="s">
        <v>64</v>
      </c>
      <c r="C12" s="174" t="s">
        <v>219</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153</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0</v>
      </c>
      <c r="C16" s="177" t="s">
        <v>215</v>
      </c>
      <c r="D16" s="178"/>
      <c r="E16" s="178"/>
      <c r="F16" s="178"/>
      <c r="G16" s="178"/>
      <c r="H16" s="178"/>
      <c r="I16" s="179"/>
      <c r="J16" s="57"/>
      <c r="M16" s="1"/>
    </row>
    <row r="17" spans="1:13" ht="15" customHeight="1" x14ac:dyDescent="0.25">
      <c r="A17" s="56"/>
      <c r="B17" s="187" t="s">
        <v>73</v>
      </c>
      <c r="C17" s="180"/>
      <c r="D17" s="181"/>
      <c r="E17" s="181"/>
      <c r="F17" s="181"/>
      <c r="G17" s="181"/>
      <c r="H17" s="181"/>
      <c r="I17" s="182"/>
      <c r="J17" s="57"/>
      <c r="M17" s="1"/>
    </row>
    <row r="18" spans="1:13" x14ac:dyDescent="0.25">
      <c r="A18" s="56"/>
      <c r="B18" s="187"/>
      <c r="C18" s="180"/>
      <c r="D18" s="181"/>
      <c r="E18" s="181"/>
      <c r="F18" s="181"/>
      <c r="G18" s="181"/>
      <c r="H18" s="181"/>
      <c r="I18" s="182"/>
      <c r="J18" s="57"/>
      <c r="M18" s="1"/>
    </row>
    <row r="19" spans="1:13" ht="37.5" customHeight="1" x14ac:dyDescent="0.25">
      <c r="A19" s="56"/>
      <c r="B19" s="187"/>
      <c r="C19" s="183"/>
      <c r="D19" s="184"/>
      <c r="E19" s="184"/>
      <c r="F19" s="184"/>
      <c r="G19" s="184"/>
      <c r="H19" s="184"/>
      <c r="I19" s="185"/>
      <c r="J19" s="57"/>
      <c r="M19" s="1"/>
    </row>
    <row r="20" spans="1:13" ht="9.9499999999999993" customHeight="1" x14ac:dyDescent="0.25">
      <c r="A20" s="56"/>
      <c r="B20" s="71"/>
      <c r="C20" s="72"/>
      <c r="D20" s="72"/>
      <c r="E20" s="72"/>
      <c r="F20" s="72"/>
      <c r="G20" s="72"/>
      <c r="H20" s="72"/>
      <c r="I20" s="112"/>
      <c r="J20" s="57"/>
      <c r="M20" s="1"/>
    </row>
    <row r="21" spans="1:13" ht="26.1" customHeight="1" x14ac:dyDescent="0.25">
      <c r="A21" s="56"/>
      <c r="B21" s="40" t="s">
        <v>65</v>
      </c>
      <c r="C21" s="186" t="s">
        <v>221</v>
      </c>
      <c r="D21" s="178"/>
      <c r="E21" s="178"/>
      <c r="F21" s="178"/>
      <c r="G21" s="178"/>
      <c r="H21" s="178"/>
      <c r="I21" s="179"/>
      <c r="J21" s="57"/>
      <c r="M21" s="1"/>
    </row>
    <row r="22" spans="1:13" ht="26.1" customHeight="1" x14ac:dyDescent="0.25">
      <c r="A22" s="56"/>
      <c r="B22" s="175" t="s">
        <v>144</v>
      </c>
      <c r="C22" s="180"/>
      <c r="D22" s="181"/>
      <c r="E22" s="181"/>
      <c r="F22" s="181"/>
      <c r="G22" s="181"/>
      <c r="H22" s="181"/>
      <c r="I22" s="182"/>
      <c r="J22" s="57"/>
      <c r="M22" s="1"/>
    </row>
    <row r="23" spans="1:13" ht="26.1" customHeight="1" x14ac:dyDescent="0.25">
      <c r="A23" s="56"/>
      <c r="B23" s="175"/>
      <c r="C23" s="180"/>
      <c r="D23" s="181"/>
      <c r="E23" s="181"/>
      <c r="F23" s="181"/>
      <c r="G23" s="181"/>
      <c r="H23" s="181"/>
      <c r="I23" s="182"/>
      <c r="J23" s="57"/>
      <c r="M23" s="1"/>
    </row>
    <row r="24" spans="1:13" ht="26.1" customHeight="1" x14ac:dyDescent="0.25">
      <c r="A24" s="56"/>
      <c r="B24" s="175"/>
      <c r="C24" s="180"/>
      <c r="D24" s="181"/>
      <c r="E24" s="181"/>
      <c r="F24" s="181"/>
      <c r="G24" s="181"/>
      <c r="H24" s="181"/>
      <c r="I24" s="182"/>
      <c r="J24" s="57"/>
      <c r="M24" s="1"/>
    </row>
    <row r="25" spans="1:13" ht="26.1" customHeight="1" x14ac:dyDescent="0.25">
      <c r="A25" s="56"/>
      <c r="B25" s="175"/>
      <c r="C25" s="180"/>
      <c r="D25" s="181"/>
      <c r="E25" s="181"/>
      <c r="F25" s="181"/>
      <c r="G25" s="181"/>
      <c r="H25" s="181"/>
      <c r="I25" s="182"/>
      <c r="J25" s="57"/>
      <c r="M25" s="1"/>
    </row>
    <row r="26" spans="1:13" ht="26.1" customHeight="1" x14ac:dyDescent="0.25">
      <c r="A26" s="56"/>
      <c r="B26" s="175"/>
      <c r="C26" s="180"/>
      <c r="D26" s="181"/>
      <c r="E26" s="181"/>
      <c r="F26" s="181"/>
      <c r="G26" s="181"/>
      <c r="H26" s="181"/>
      <c r="I26" s="182"/>
      <c r="J26" s="57"/>
      <c r="M26" s="1"/>
    </row>
    <row r="27" spans="1:13" ht="26.1" customHeight="1" x14ac:dyDescent="0.25">
      <c r="A27" s="56"/>
      <c r="B27" s="176"/>
      <c r="C27" s="183"/>
      <c r="D27" s="184"/>
      <c r="E27" s="184"/>
      <c r="F27" s="184"/>
      <c r="G27" s="184"/>
      <c r="H27" s="184"/>
      <c r="I27" s="185"/>
      <c r="J27" s="57"/>
      <c r="M27" s="1"/>
    </row>
    <row r="28" spans="1:13" ht="9.9499999999999993" customHeight="1" x14ac:dyDescent="0.25">
      <c r="A28" s="56"/>
      <c r="D28" s="68"/>
      <c r="J28" s="57"/>
      <c r="M28" s="1"/>
    </row>
    <row r="29" spans="1:13" s="1" customFormat="1" x14ac:dyDescent="0.25">
      <c r="A29" s="60"/>
      <c r="B29" s="151" t="s">
        <v>154</v>
      </c>
      <c r="C29" s="152"/>
      <c r="D29" s="152"/>
      <c r="E29" s="152"/>
      <c r="F29" s="152"/>
      <c r="G29" s="152"/>
      <c r="H29" s="152"/>
      <c r="I29" s="153"/>
      <c r="J29" s="61"/>
    </row>
    <row r="30" spans="1:13" ht="15" customHeight="1" thickBot="1" x14ac:dyDescent="0.3">
      <c r="A30" s="56"/>
      <c r="B30" s="73"/>
      <c r="C30" s="157" t="s">
        <v>176</v>
      </c>
      <c r="D30" s="158"/>
      <c r="E30" s="158"/>
      <c r="F30" s="158"/>
      <c r="G30" s="158"/>
      <c r="H30" s="159"/>
      <c r="I30" s="160"/>
      <c r="J30" s="57"/>
      <c r="M30" s="1"/>
    </row>
    <row r="31" spans="1:13" ht="15" customHeight="1" x14ac:dyDescent="0.25">
      <c r="A31" s="56"/>
      <c r="B31" s="73"/>
      <c r="C31" s="157" t="s">
        <v>159</v>
      </c>
      <c r="D31" s="160"/>
      <c r="E31" s="157" t="s">
        <v>160</v>
      </c>
      <c r="F31" s="158"/>
      <c r="G31" s="158"/>
      <c r="H31" s="161" t="s">
        <v>1</v>
      </c>
      <c r="I31" s="163" t="s">
        <v>67</v>
      </c>
      <c r="J31" s="57"/>
      <c r="M31" s="1"/>
    </row>
    <row r="32" spans="1:13" s="1" customFormat="1" ht="30" x14ac:dyDescent="0.25">
      <c r="A32" s="60"/>
      <c r="B32" s="10" t="s">
        <v>156</v>
      </c>
      <c r="C32" s="74" t="s">
        <v>162</v>
      </c>
      <c r="D32" s="4" t="s">
        <v>210</v>
      </c>
      <c r="E32" s="4" t="s">
        <v>211</v>
      </c>
      <c r="F32" s="4" t="s">
        <v>212</v>
      </c>
      <c r="G32" s="5" t="s">
        <v>161</v>
      </c>
      <c r="H32" s="162"/>
      <c r="I32" s="16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542760</v>
      </c>
      <c r="D38" s="48">
        <f>SUM(D39:D42)</f>
        <v>395124</v>
      </c>
      <c r="E38" s="48">
        <f>SUM(E39:E42)</f>
        <v>3059116</v>
      </c>
      <c r="F38" s="48">
        <f>SUM(F39:F42)</f>
        <v>0</v>
      </c>
      <c r="G38" s="49">
        <f>SUM(G39:G42)</f>
        <v>0</v>
      </c>
      <c r="H38" s="50">
        <f>SUM(C38:G38)</f>
        <v>3997000</v>
      </c>
      <c r="I38" s="7"/>
      <c r="J38" s="57"/>
      <c r="M38" s="1"/>
    </row>
    <row r="39" spans="1:13" x14ac:dyDescent="0.25">
      <c r="A39" s="56"/>
      <c r="B39" s="8" t="s">
        <v>157</v>
      </c>
      <c r="C39" s="75">
        <v>542760</v>
      </c>
      <c r="D39" s="76">
        <v>395124</v>
      </c>
      <c r="E39" s="76">
        <f>3997000-D39-C39</f>
        <v>3059116</v>
      </c>
      <c r="F39" s="76"/>
      <c r="G39" s="77"/>
      <c r="H39" s="9">
        <f>SUM(C39:G39)</f>
        <v>3997000</v>
      </c>
      <c r="I39" s="78" t="s">
        <v>216</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43937000</v>
      </c>
      <c r="H43" s="50">
        <f>SUM(C43:G43)</f>
        <v>43937000</v>
      </c>
      <c r="I43" s="7"/>
      <c r="J43" s="57"/>
      <c r="M43" s="1"/>
    </row>
    <row r="44" spans="1:13" x14ac:dyDescent="0.25">
      <c r="A44" s="56"/>
      <c r="B44" s="8" t="s">
        <v>157</v>
      </c>
      <c r="C44" s="75"/>
      <c r="D44" s="76"/>
      <c r="E44" s="76"/>
      <c r="F44" s="76"/>
      <c r="G44" s="77">
        <v>43937000</v>
      </c>
      <c r="H44" s="9">
        <f>SUM(C44:G44)</f>
        <v>43937000</v>
      </c>
      <c r="I44" s="78" t="s">
        <v>217</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542760</v>
      </c>
      <c r="D48" s="51">
        <f>D33+D38+D43</f>
        <v>395124</v>
      </c>
      <c r="E48" s="51">
        <f>E33+E38+E43</f>
        <v>3059116</v>
      </c>
      <c r="F48" s="51">
        <f>F33+F38+F43</f>
        <v>0</v>
      </c>
      <c r="G48" s="52">
        <f>G33+G38+G43</f>
        <v>43937000</v>
      </c>
      <c r="H48" s="53">
        <f>SUM(C48:G48)</f>
        <v>47934000</v>
      </c>
      <c r="I48" s="7"/>
      <c r="J48" s="61"/>
    </row>
    <row r="49" spans="1:13" s="1" customFormat="1" ht="9.9499999999999993" customHeight="1" x14ac:dyDescent="0.25">
      <c r="A49" s="60"/>
      <c r="C49" s="79"/>
      <c r="D49" s="79"/>
      <c r="J49" s="61"/>
    </row>
    <row r="50" spans="1:13" s="1" customFormat="1" x14ac:dyDescent="0.25">
      <c r="A50" s="60"/>
      <c r="B50" s="148" t="s">
        <v>155</v>
      </c>
      <c r="C50" s="149"/>
      <c r="D50" s="149"/>
      <c r="E50" s="149"/>
      <c r="F50" s="149"/>
      <c r="G50" s="149"/>
      <c r="H50" s="149"/>
      <c r="I50" s="150"/>
      <c r="J50" s="61"/>
    </row>
    <row r="51" spans="1:13" x14ac:dyDescent="0.25">
      <c r="A51" s="56"/>
      <c r="B51" s="80" t="s">
        <v>69</v>
      </c>
      <c r="C51" s="169" t="s">
        <v>101</v>
      </c>
      <c r="D51" s="169"/>
      <c r="E51" s="168" t="s">
        <v>70</v>
      </c>
      <c r="F51" s="168"/>
      <c r="G51" s="142" t="s">
        <v>141</v>
      </c>
      <c r="H51" s="142"/>
      <c r="I51" s="16"/>
      <c r="J51" s="57"/>
      <c r="M51" s="1"/>
    </row>
    <row r="52" spans="1:13" x14ac:dyDescent="0.25">
      <c r="A52" s="56"/>
      <c r="B52" s="15" t="s">
        <v>192</v>
      </c>
      <c r="C52" s="170">
        <v>0</v>
      </c>
      <c r="D52" s="171"/>
      <c r="E52" t="s">
        <v>71</v>
      </c>
      <c r="G52" s="143" t="s">
        <v>138</v>
      </c>
      <c r="H52" s="143"/>
      <c r="I52" s="16"/>
      <c r="J52" s="57"/>
      <c r="M52" s="1"/>
    </row>
    <row r="53" spans="1:13" x14ac:dyDescent="0.25">
      <c r="A53" s="56"/>
      <c r="B53" s="18" t="s">
        <v>148</v>
      </c>
      <c r="C53" s="143" t="s">
        <v>55</v>
      </c>
      <c r="D53" s="143"/>
      <c r="E53" s="19" t="s">
        <v>72</v>
      </c>
      <c r="F53" s="19"/>
      <c r="G53" s="143" t="s">
        <v>138</v>
      </c>
      <c r="H53" s="143"/>
      <c r="I53" s="20"/>
      <c r="J53" s="57"/>
      <c r="M53" s="1"/>
    </row>
    <row r="54" spans="1:13" ht="9.9499999999999993" customHeight="1" x14ac:dyDescent="0.25">
      <c r="A54" s="56"/>
      <c r="J54" s="57"/>
      <c r="M54" s="1"/>
    </row>
    <row r="55" spans="1:13" x14ac:dyDescent="0.25">
      <c r="A55" s="56"/>
      <c r="B55" s="148" t="s">
        <v>68</v>
      </c>
      <c r="C55" s="149"/>
      <c r="D55" s="149"/>
      <c r="E55" s="149"/>
      <c r="F55" s="149"/>
      <c r="G55" s="149"/>
      <c r="H55" s="149"/>
      <c r="I55" s="150"/>
      <c r="J55" s="57"/>
      <c r="M55" s="1"/>
    </row>
    <row r="56" spans="1:13" ht="75" customHeight="1" x14ac:dyDescent="0.25">
      <c r="A56" s="56"/>
      <c r="B56" s="144" t="s">
        <v>177</v>
      </c>
      <c r="C56" s="144"/>
      <c r="D56" s="144"/>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56525</v>
      </c>
      <c r="F57" s="81">
        <v>56525</v>
      </c>
      <c r="G57" s="82"/>
      <c r="H57" s="114">
        <f>IF($H$56=Lists!$D$8, IFERROR(F57-E57, ""), IF($H$56=Lists!$D$9, IFERROR(G57-E57, ""), IFERROR(G57-F57, "")))</f>
        <v>-56525</v>
      </c>
      <c r="I57" s="83"/>
      <c r="J57" s="57"/>
      <c r="M57" s="1"/>
    </row>
    <row r="58" spans="1:13" x14ac:dyDescent="0.25">
      <c r="A58" s="56"/>
      <c r="B58" s="15" t="s">
        <v>42</v>
      </c>
      <c r="D58" s="16"/>
      <c r="E58" s="81">
        <v>36468</v>
      </c>
      <c r="F58" s="81">
        <v>36468</v>
      </c>
      <c r="G58" s="82"/>
      <c r="H58" s="114">
        <f>IF($H$56=Lists!$D$8, IFERROR(F58-E58, ""), IF($H$56=Lists!$D$9, IFERROR(G58-E58, ""), IFERROR(G58-F58, "")))</f>
        <v>-36468</v>
      </c>
      <c r="I58" s="83"/>
      <c r="J58" s="57"/>
      <c r="M58" s="1"/>
    </row>
    <row r="59" spans="1:13" x14ac:dyDescent="0.25">
      <c r="A59" s="56"/>
      <c r="B59" s="15" t="s">
        <v>43</v>
      </c>
      <c r="D59" s="16"/>
      <c r="E59" s="17">
        <f>IFERROR(E58/E57, "")</f>
        <v>0.6451658558160106</v>
      </c>
      <c r="F59" s="17">
        <f t="shared" ref="F59:G59" si="3">IFERROR(F58/F57, "")</f>
        <v>0.6451658558160106</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582.95499336576734</v>
      </c>
      <c r="F62" s="21">
        <f>IFERROR(F91/F57, "")</f>
        <v>582.95499336576734</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673.99702786377713</v>
      </c>
      <c r="F63" s="22">
        <f>IFERROR(F97/F57, "")</f>
        <v>673.99702786377713</v>
      </c>
      <c r="G63" s="22" t="str">
        <f>IFERROR(G97/G57, "")</f>
        <v/>
      </c>
      <c r="H63" s="117" t="str">
        <f>IF($H$56=Lists!$D$8, IFERROR(F63-E63, ""), IF($H$56=Lists!$D$9, IFERROR(G63-E63, ""), IFERROR(G63-F63, "")))</f>
        <v/>
      </c>
      <c r="I63" s="88"/>
      <c r="J63" s="57"/>
      <c r="K63" s="87"/>
    </row>
    <row r="64" spans="1:13" x14ac:dyDescent="0.25">
      <c r="A64" s="56"/>
      <c r="B64" s="145" t="s">
        <v>5</v>
      </c>
      <c r="C64" s="146"/>
      <c r="D64" s="146"/>
      <c r="E64" s="146"/>
      <c r="F64" s="146"/>
      <c r="G64" s="146"/>
      <c r="H64" s="146"/>
      <c r="I64" s="147"/>
      <c r="J64" s="57"/>
    </row>
    <row r="65" spans="1:10" x14ac:dyDescent="0.25">
      <c r="A65" s="56"/>
      <c r="B65" s="12" t="s">
        <v>6</v>
      </c>
      <c r="C65" s="13"/>
      <c r="D65" s="14"/>
      <c r="E65" s="89">
        <v>44713</v>
      </c>
      <c r="F65" s="89">
        <v>44713</v>
      </c>
      <c r="G65" s="90">
        <v>44831</v>
      </c>
      <c r="H65" s="114" t="str">
        <f>IF(SUM(E65:G65)=0, "", IF($H$56=Lists!$D$8, IFERROR(MROUND(CONVERT(F65-E65,"day","yr")*12, 0.5)&amp;" mo.", ""), IF($H$56=Lists!$D$9, IFERROR(MROUND(CONVERT(G65-E65,"day","yr")*12, 0.5)&amp;" mo.", ""), IFERROR(MROUND(CONVERT(G65-F65,"day","yr")*12, 0.5)&amp;" mo.", ""))))</f>
        <v>4 mo.</v>
      </c>
      <c r="I65" s="83"/>
      <c r="J65" s="57"/>
    </row>
    <row r="66" spans="1:10" x14ac:dyDescent="0.25">
      <c r="A66" s="56"/>
      <c r="B66" s="15" t="s">
        <v>7</v>
      </c>
      <c r="D66" s="16"/>
      <c r="E66" s="89">
        <v>44805</v>
      </c>
      <c r="F66" s="90">
        <v>44896</v>
      </c>
      <c r="G66" s="90">
        <v>45748</v>
      </c>
      <c r="H66" s="114" t="str">
        <f>IF(SUM(E66:G66)=0, "", IF($H$56=Lists!$D$8, IFERROR(MROUND(CONVERT(F66-E66,"day","yr")*12, 0.5)&amp;" mo.", ""), IF($H$56=Lists!$D$9, IFERROR(MROUND(CONVERT(G66-E66,"day","yr")*12, 0.5)&amp;" mo.", ""), IFERROR(MROUND(CONVERT(G66-F66,"day","yr")*12, 0.5)&amp;" mo.", ""))))</f>
        <v>28 mo.</v>
      </c>
      <c r="I66" s="83"/>
      <c r="J66" s="57"/>
    </row>
    <row r="67" spans="1:10" x14ac:dyDescent="0.25">
      <c r="A67" s="56"/>
      <c r="B67" s="15" t="s">
        <v>164</v>
      </c>
      <c r="D67" s="16"/>
      <c r="E67" s="89"/>
      <c r="F67" s="89"/>
      <c r="G67" s="90"/>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89">
        <v>45474</v>
      </c>
      <c r="F68" s="89">
        <v>45474</v>
      </c>
      <c r="G68" s="90">
        <v>45839</v>
      </c>
      <c r="H68" s="114" t="str">
        <f>IF(SUM(E68:G68)=0, "", IF($H$56=Lists!$D$8, IFERROR(MROUND(CONVERT(F68-E68,"day","yr")*12, 0.5)&amp;" mo.", ""), IF($H$56=Lists!$D$9, IFERROR(MROUND(CONVERT(G68-E68,"day","yr")*12, 0.5)&amp;" mo.", ""), IFERROR(MROUND(CONVERT(G68-F68,"day","yr")*12, 0.5)&amp;" mo.", ""))))</f>
        <v>12 mo.</v>
      </c>
      <c r="I68" s="83"/>
      <c r="J68" s="57"/>
    </row>
    <row r="69" spans="1:10" x14ac:dyDescent="0.25">
      <c r="A69" s="56"/>
      <c r="B69" s="15" t="s">
        <v>8</v>
      </c>
      <c r="D69" s="16"/>
      <c r="E69" s="89">
        <v>46082</v>
      </c>
      <c r="F69" s="89">
        <v>45778</v>
      </c>
      <c r="G69" s="90">
        <v>46143</v>
      </c>
      <c r="H69" s="114" t="str">
        <f>IF(SUM(E69:G69)=0, "", IF($H$56=Lists!$D$8, IFERROR(MROUND(CONVERT(F69-E69,"day","yr")*12, 0.5)&amp;" mo.", ""), IF($H$56=Lists!$D$9, IFERROR(MROUND(CONVERT(G69-E69,"day","yr")*12, 0.5)&amp;" mo.", ""), IFERROR(MROUND(CONVERT(G69-F69,"day","yr")*12, 0.5)&amp;" mo.", ""))))</f>
        <v>12 mo.</v>
      </c>
      <c r="I69" s="83"/>
      <c r="J69" s="57"/>
    </row>
    <row r="70" spans="1:10" x14ac:dyDescent="0.25">
      <c r="A70" s="56"/>
      <c r="B70" s="18" t="s">
        <v>9</v>
      </c>
      <c r="C70" s="19"/>
      <c r="D70" s="20"/>
      <c r="E70" s="89">
        <v>46174</v>
      </c>
      <c r="F70" s="89">
        <v>46174</v>
      </c>
      <c r="G70" s="90">
        <v>46569</v>
      </c>
      <c r="H70" s="114" t="str">
        <f>IF(SUM(E70:G70)=0, "", IF($H$56=Lists!$D$8, IFERROR(MROUND(CONVERT(F70-E70,"day","yr")*12, 0.5)&amp;" mo.", ""), IF($H$56=Lists!$D$9, IFERROR(MROUND(CONVERT(G70-E70,"day","yr")*12, 0.5)&amp;" mo.", ""), IFERROR(MROUND(CONVERT(G70-F70,"day","yr")*12, 0.5)&amp;" mo.", ""))))</f>
        <v>13 mo.</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4" t="s">
        <v>152</v>
      </c>
      <c r="B72" s="155"/>
      <c r="C72" s="155"/>
      <c r="D72" s="155"/>
      <c r="E72" s="155"/>
      <c r="F72" s="155"/>
      <c r="G72" s="155"/>
      <c r="H72" s="155"/>
      <c r="I72" s="155"/>
      <c r="J72" s="156"/>
    </row>
    <row r="73" spans="1:10" ht="9.9499999999999993" customHeight="1" thickTop="1" x14ac:dyDescent="0.25">
      <c r="A73" s="56"/>
      <c r="B73" s="33"/>
      <c r="C73" s="33"/>
      <c r="D73" s="33"/>
      <c r="E73" s="26"/>
      <c r="F73" s="26"/>
      <c r="G73" s="26"/>
      <c r="H73" s="27"/>
      <c r="I73" s="94"/>
      <c r="J73" s="57"/>
    </row>
    <row r="74" spans="1:10" ht="75" customHeight="1" x14ac:dyDescent="0.25">
      <c r="A74" s="56"/>
      <c r="B74" s="144" t="s">
        <v>177</v>
      </c>
      <c r="C74" s="144"/>
      <c r="D74" s="144"/>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8" t="s">
        <v>11</v>
      </c>
      <c r="C75" s="149"/>
      <c r="D75" s="149"/>
      <c r="E75" s="149"/>
      <c r="F75" s="149"/>
      <c r="G75" s="149"/>
      <c r="H75" s="149"/>
      <c r="I75" s="150"/>
      <c r="J75" s="57"/>
    </row>
    <row r="76" spans="1:10" x14ac:dyDescent="0.25">
      <c r="A76" s="56"/>
      <c r="B76" s="165" t="s">
        <v>50</v>
      </c>
      <c r="C76" s="166"/>
      <c r="D76" s="167"/>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8" t="s">
        <v>12</v>
      </c>
      <c r="C78" s="149"/>
      <c r="D78" s="149"/>
      <c r="E78" s="149"/>
      <c r="F78" s="149"/>
      <c r="G78" s="149"/>
      <c r="H78" s="149"/>
      <c r="I78" s="150"/>
      <c r="J78" s="57"/>
    </row>
    <row r="79" spans="1:10" x14ac:dyDescent="0.25">
      <c r="A79" s="56"/>
      <c r="B79" s="12" t="s">
        <v>44</v>
      </c>
      <c r="C79" s="13"/>
      <c r="D79" s="14"/>
      <c r="E79" s="97">
        <v>425447</v>
      </c>
      <c r="F79" s="97">
        <v>425447</v>
      </c>
      <c r="G79" s="98">
        <v>424418.4</v>
      </c>
      <c r="H79" s="31">
        <f>IF($H$56=Lists!$D$8, IFERROR(F79-E79, ""), IF($H$56=Lists!$D$9, IFERROR(G79-E79, ""), IFERROR(G79-F79, "")))</f>
        <v>-1028.5999999999767</v>
      </c>
      <c r="I79" s="83"/>
      <c r="J79" s="57"/>
    </row>
    <row r="80" spans="1:10" x14ac:dyDescent="0.25">
      <c r="A80" s="56"/>
      <c r="B80" s="15" t="s">
        <v>165</v>
      </c>
      <c r="D80" s="16"/>
      <c r="E80" s="97">
        <v>1554364</v>
      </c>
      <c r="F80" s="97">
        <v>1554364</v>
      </c>
      <c r="G80" s="98">
        <v>433310.1</v>
      </c>
      <c r="H80" s="31">
        <f>IF($H$56=Lists!$D$8, IFERROR(F80-E80, ""), IF($H$56=Lists!$D$9, IFERROR(G80-E80, ""), IFERROR(G80-F80, "")))</f>
        <v>-1121053.8999999999</v>
      </c>
      <c r="I80" s="83"/>
      <c r="J80" s="57"/>
    </row>
    <row r="81" spans="1:10" x14ac:dyDescent="0.25">
      <c r="A81" s="56"/>
      <c r="B81" s="15" t="s">
        <v>167</v>
      </c>
      <c r="D81" s="16"/>
      <c r="E81" s="97">
        <v>1752653</v>
      </c>
      <c r="F81" s="97">
        <v>1752653</v>
      </c>
      <c r="G81" s="130">
        <v>33443.25</v>
      </c>
      <c r="H81" s="31">
        <f>IF($H$56=Lists!$D$8, IFERROR(F81-E81, ""), IF($H$56=Lists!$D$9, IFERROR(G81-E81, ""), IFERROR(G81-F81, "")))</f>
        <v>-1719209.75</v>
      </c>
      <c r="I81" s="83"/>
      <c r="J81" s="57"/>
    </row>
    <row r="82" spans="1:10" x14ac:dyDescent="0.25">
      <c r="A82" s="56"/>
      <c r="B82" s="15" t="s">
        <v>166</v>
      </c>
      <c r="D82" s="16"/>
      <c r="E82" s="97">
        <f>655900*1.103</f>
        <v>723457.7</v>
      </c>
      <c r="F82" s="97">
        <f>655900*1.103</f>
        <v>723457.7</v>
      </c>
      <c r="G82" s="97"/>
      <c r="H82" s="31">
        <f>IF($H$56=Lists!$D$8, IFERROR(F82-E82, ""), IF($H$56=Lists!$D$9, IFERROR(G82-E82, ""), IFERROR(G82-F82, "")))</f>
        <v>-723457.7</v>
      </c>
      <c r="I82" s="83"/>
      <c r="J82" s="57"/>
    </row>
    <row r="83" spans="1:10" x14ac:dyDescent="0.25">
      <c r="A83" s="56"/>
      <c r="B83" s="15" t="s">
        <v>168</v>
      </c>
      <c r="D83" s="16"/>
      <c r="E83" s="97">
        <f>1439907-723458</f>
        <v>716449</v>
      </c>
      <c r="F83" s="97">
        <f>1439907-723458</f>
        <v>716449</v>
      </c>
      <c r="G83" s="97"/>
      <c r="H83" s="32">
        <f>IF($H$56=Lists!$D$8, IFERROR(F83-E83, ""), IF($H$56=Lists!$D$9, IFERROR(G83-E83, ""), IFERROR(G83-F83, "")))</f>
        <v>-716449</v>
      </c>
      <c r="I83" s="83"/>
      <c r="J83" s="57"/>
    </row>
    <row r="84" spans="1:10" x14ac:dyDescent="0.25">
      <c r="A84" s="56"/>
      <c r="B84" s="15" t="s">
        <v>13</v>
      </c>
      <c r="D84" s="16"/>
      <c r="E84" s="97">
        <v>265548</v>
      </c>
      <c r="F84" s="97">
        <v>265548</v>
      </c>
      <c r="G84" s="98"/>
      <c r="H84" s="31">
        <f>IF($H$56=Lists!$D$8, IFERROR(F84-E84, ""), IF($H$56=Lists!$D$9, IFERROR(G84-E84, ""), IFERROR(G84-F84, "")))</f>
        <v>-265548</v>
      </c>
      <c r="I84" s="99"/>
      <c r="J84" s="57"/>
    </row>
    <row r="85" spans="1:10" x14ac:dyDescent="0.25">
      <c r="A85" s="56"/>
      <c r="B85" s="207" t="s">
        <v>14</v>
      </c>
      <c r="C85" s="208"/>
      <c r="D85" s="209"/>
      <c r="E85" s="34">
        <f>SUM(E79:E84)</f>
        <v>5437918.7000000002</v>
      </c>
      <c r="F85" s="34">
        <f>SUM(F79:F84)</f>
        <v>5437918.7000000002</v>
      </c>
      <c r="G85" s="34">
        <f>SUM(G79:G84)</f>
        <v>891171.75</v>
      </c>
      <c r="H85" s="35">
        <f>IF($H$56=Lists!$D$8, IFERROR(F85-E85, ""), IF($H$56=Lists!$D$9, IFERROR(G85-E85, ""), IFERROR(G85-F85, "")))</f>
        <v>-4546746.95</v>
      </c>
      <c r="I85" s="100"/>
      <c r="J85" s="57"/>
    </row>
    <row r="86" spans="1:10" ht="9.9499999999999993" customHeight="1" x14ac:dyDescent="0.25">
      <c r="A86" s="56"/>
      <c r="J86" s="57"/>
    </row>
    <row r="87" spans="1:10" x14ac:dyDescent="0.25">
      <c r="A87" s="56"/>
      <c r="B87" s="148" t="s">
        <v>15</v>
      </c>
      <c r="C87" s="149"/>
      <c r="D87" s="149"/>
      <c r="E87" s="149"/>
      <c r="F87" s="149"/>
      <c r="G87" s="149"/>
      <c r="H87" s="149"/>
      <c r="I87" s="150"/>
      <c r="J87" s="57"/>
    </row>
    <row r="88" spans="1:10" ht="14.45" customHeight="1" x14ac:dyDescent="0.25">
      <c r="A88" s="56"/>
      <c r="B88" s="12" t="s">
        <v>45</v>
      </c>
      <c r="C88" s="13"/>
      <c r="D88" s="14"/>
      <c r="E88" s="97">
        <v>2266141</v>
      </c>
      <c r="F88" s="97">
        <v>2266141</v>
      </c>
      <c r="G88" s="98"/>
      <c r="H88" s="36">
        <f>IF($H$56=Lists!$D$8, IFERROR(F88-E88, ""), IF($H$56=Lists!$D$9, IFERROR(G88-E88, ""), IFERROR(G88-F88, "")))</f>
        <v>-2266141</v>
      </c>
      <c r="I88" s="83"/>
      <c r="J88" s="57"/>
    </row>
    <row r="89" spans="1:10" x14ac:dyDescent="0.25">
      <c r="A89" s="56"/>
      <c r="B89" s="15" t="s">
        <v>46</v>
      </c>
      <c r="D89" s="16"/>
      <c r="E89" s="97">
        <v>1878817</v>
      </c>
      <c r="F89" s="97">
        <v>1878817</v>
      </c>
      <c r="G89" s="98"/>
      <c r="H89" s="36">
        <f>IF($H$56=Lists!$D$8, IFERROR(F89-E89, ""), IF($H$56=Lists!$D$9, IFERROR(G89-E89, ""), IFERROR(G89-F89, "")))</f>
        <v>-1878817</v>
      </c>
      <c r="I89" s="99"/>
      <c r="J89" s="57"/>
    </row>
    <row r="90" spans="1:10" x14ac:dyDescent="0.25">
      <c r="A90" s="56"/>
      <c r="B90" s="15" t="s">
        <v>47</v>
      </c>
      <c r="D90" s="16"/>
      <c r="E90" s="97">
        <v>28806573</v>
      </c>
      <c r="F90" s="97">
        <v>28806573</v>
      </c>
      <c r="G90" s="97"/>
      <c r="H90" s="37">
        <f>IF($H$56=Lists!$D$8, IFERROR(F90-E90, ""), IF($H$56=Lists!$D$9, IFERROR(G90-E90, ""), IFERROR(G90-F90, "")))</f>
        <v>-28806573</v>
      </c>
      <c r="I90" s="99"/>
      <c r="J90" s="57"/>
    </row>
    <row r="91" spans="1:10" x14ac:dyDescent="0.25">
      <c r="A91" s="56"/>
      <c r="B91" s="204" t="s">
        <v>51</v>
      </c>
      <c r="C91" s="205"/>
      <c r="D91" s="206"/>
      <c r="E91" s="38">
        <f>SUM(E88:E90)</f>
        <v>32951531</v>
      </c>
      <c r="F91" s="38">
        <f t="shared" ref="F91:G91" si="5">SUM(F88:F90)</f>
        <v>32951531</v>
      </c>
      <c r="G91" s="38">
        <f t="shared" si="5"/>
        <v>0</v>
      </c>
      <c r="H91" s="36">
        <f>IF($H$56=Lists!$D$8, IFERROR(F91-E91, ""), IF($H$56=Lists!$D$9, IFERROR(G91-E91, ""), IFERROR(G91-F91, "")))</f>
        <v>-32951531</v>
      </c>
      <c r="I91" s="100"/>
      <c r="J91" s="57"/>
    </row>
    <row r="92" spans="1:10" x14ac:dyDescent="0.25">
      <c r="A92" s="56"/>
      <c r="B92" s="15" t="s">
        <v>48</v>
      </c>
      <c r="D92" s="16"/>
      <c r="E92" s="97">
        <v>1651268</v>
      </c>
      <c r="F92" s="97">
        <v>1651268</v>
      </c>
      <c r="G92" s="98"/>
      <c r="H92" s="36">
        <f>IF($H$56=Lists!$D$8, IFERROR(F92-E92, ""), IF($H$56=Lists!$D$9, IFERROR(G92-E92, ""), IFERROR(G92-F92, "")))</f>
        <v>-1651268</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3494883</v>
      </c>
      <c r="F94" s="97">
        <v>3494883</v>
      </c>
      <c r="G94" s="97"/>
      <c r="H94" s="36">
        <f>IF($H$56=Lists!$D$8, IFERROR(F94-E94, ""), IF($H$56=Lists!$D$9, IFERROR(G94-E94, ""), IFERROR(G94-F94, "")))</f>
        <v>-3494883</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7" t="s">
        <v>52</v>
      </c>
      <c r="C97" s="208"/>
      <c r="D97" s="209"/>
      <c r="E97" s="38">
        <f>SUM(E91:E96)</f>
        <v>38097682</v>
      </c>
      <c r="F97" s="38">
        <f t="shared" ref="F97:G97" si="6">SUM(F91:F96)</f>
        <v>38097682</v>
      </c>
      <c r="G97" s="38">
        <f t="shared" si="6"/>
        <v>0</v>
      </c>
      <c r="H97" s="39">
        <f>IF($H$56=Lists!$D$8, IFERROR(F97-E97, ""), IF($H$56=Lists!$D$9, IFERROR(G97-E97, ""), IFERROR(G97-F97, "")))</f>
        <v>-38097682</v>
      </c>
      <c r="I97" s="84"/>
      <c r="J97" s="57"/>
    </row>
    <row r="98" spans="1:10" ht="9.9499999999999993" customHeight="1" x14ac:dyDescent="0.25">
      <c r="A98" s="56"/>
      <c r="J98" s="57"/>
    </row>
    <row r="99" spans="1:10" x14ac:dyDescent="0.25">
      <c r="A99" s="56"/>
      <c r="B99" s="148" t="s">
        <v>16</v>
      </c>
      <c r="C99" s="149"/>
      <c r="D99" s="149"/>
      <c r="E99" s="149"/>
      <c r="F99" s="149"/>
      <c r="G99" s="149"/>
      <c r="H99" s="149"/>
      <c r="I99" s="150"/>
      <c r="J99" s="57"/>
    </row>
    <row r="100" spans="1:10" x14ac:dyDescent="0.25">
      <c r="A100" s="56"/>
      <c r="B100" s="40" t="s">
        <v>17</v>
      </c>
      <c r="D100" s="16"/>
      <c r="E100" s="101">
        <v>3389418</v>
      </c>
      <c r="F100" s="101">
        <v>3389418</v>
      </c>
      <c r="G100" s="102"/>
      <c r="H100" s="41">
        <f>IF($H$56=Lists!$D$8, IFERROR(F100-E100, ""), IF($H$56=Lists!$D$9, IFERROR(G100-E100, ""), IFERROR(G100-F100, "")))</f>
        <v>-3389418</v>
      </c>
      <c r="I100" s="103"/>
      <c r="J100" s="104"/>
    </row>
    <row r="101" spans="1:10" x14ac:dyDescent="0.25">
      <c r="A101" s="56"/>
      <c r="B101" s="40" t="s">
        <v>18</v>
      </c>
      <c r="D101" s="16"/>
      <c r="E101" s="101">
        <v>238478</v>
      </c>
      <c r="F101" s="101">
        <v>238478</v>
      </c>
      <c r="G101" s="102"/>
      <c r="H101" s="41">
        <f>IF($H$56=Lists!$D$8, IFERROR(F101-E101, ""), IF($H$56=Lists!$D$9, IFERROR(G101-E101, ""), IFERROR(G101-F101, "")))</f>
        <v>-238478</v>
      </c>
      <c r="I101" s="103"/>
      <c r="J101" s="104"/>
    </row>
    <row r="102" spans="1:10" x14ac:dyDescent="0.25">
      <c r="A102" s="56"/>
      <c r="B102" s="40" t="s">
        <v>53</v>
      </c>
      <c r="D102" s="16"/>
      <c r="E102" s="97">
        <v>275750</v>
      </c>
      <c r="F102" s="97">
        <v>275750</v>
      </c>
      <c r="G102" s="98"/>
      <c r="H102" s="42">
        <f>IF($H$56=Lists!$D$8, IFERROR(F102-E102, ""), IF($H$56=Lists!$D$9, IFERROR(G102-E102, ""), IFERROR(G102-F102, "")))</f>
        <v>-275750</v>
      </c>
      <c r="I102" s="83"/>
      <c r="J102" s="57"/>
    </row>
    <row r="103" spans="1:10" x14ac:dyDescent="0.25">
      <c r="A103" s="56"/>
      <c r="B103" s="40" t="s">
        <v>147</v>
      </c>
      <c r="D103" s="16"/>
      <c r="E103" s="97">
        <v>494839</v>
      </c>
      <c r="F103" s="97">
        <v>494839</v>
      </c>
      <c r="G103" s="105"/>
      <c r="H103" s="43">
        <f>IF($H$56=Lists!$D$8, IFERROR(F103-E103, ""), IF($H$56=Lists!$D$9, IFERROR(G103-E103, ""), IFERROR(G103-F103, "")))</f>
        <v>-494839</v>
      </c>
      <c r="I103" s="103"/>
      <c r="J103" s="104"/>
    </row>
    <row r="104" spans="1:10" ht="15.75" thickBot="1" x14ac:dyDescent="0.3">
      <c r="A104" s="56"/>
      <c r="B104" s="210" t="s">
        <v>54</v>
      </c>
      <c r="C104" s="211"/>
      <c r="D104" s="212"/>
      <c r="E104" s="44">
        <f>SUM(E100:E103)</f>
        <v>4398485</v>
      </c>
      <c r="F104" s="44">
        <f>SUM(F100:F103)</f>
        <v>4398485</v>
      </c>
      <c r="G104" s="44">
        <f>SUM(G100:G103)</f>
        <v>0</v>
      </c>
      <c r="H104" s="39">
        <f>IF($H$56=Lists!$D$8, IFERROR(F104-E104, ""), IF($H$56=Lists!$D$9, IFERROR(G104-E104, ""), IFERROR(G104-F104, "")))</f>
        <v>-4398485</v>
      </c>
      <c r="I104" s="106"/>
      <c r="J104" s="104"/>
    </row>
    <row r="105" spans="1:10" ht="20.25" thickTop="1" thickBot="1" x14ac:dyDescent="0.35">
      <c r="A105" s="56"/>
      <c r="B105" s="107" t="s">
        <v>145</v>
      </c>
      <c r="C105" s="108"/>
      <c r="D105" s="108"/>
      <c r="E105" s="109">
        <f>SUM(E76,E85,E97,E104)</f>
        <v>47934085.700000003</v>
      </c>
      <c r="F105" s="109">
        <f>SUM(F76,F85,F97,F104)</f>
        <v>47934085.700000003</v>
      </c>
      <c r="G105" s="109">
        <f>SUM(G76,G85,G97,G104)</f>
        <v>891171.75</v>
      </c>
      <c r="H105" s="109">
        <f>SUM(H76,H85,H97,H104)</f>
        <v>-47042913.950000003</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1" t="str">
        <f>IF(ReportType=Lists!$O$2, "", "Close-Out Information")</f>
        <v/>
      </c>
      <c r="C107" s="152"/>
      <c r="D107" s="152"/>
      <c r="E107" s="152"/>
      <c r="F107" s="152"/>
      <c r="G107" s="152"/>
      <c r="H107" s="152"/>
      <c r="I107" s="153"/>
      <c r="J107" s="61"/>
    </row>
    <row r="108" spans="1:10" s="1" customFormat="1" x14ac:dyDescent="0.25">
      <c r="A108" s="60"/>
      <c r="B108" s="47"/>
      <c r="C108" s="220"/>
      <c r="D108" s="220"/>
      <c r="E108" s="220" t="str">
        <f>IF(ReportType=Lists!$O$2, "", "NOTES")</f>
        <v/>
      </c>
      <c r="F108" s="220"/>
      <c r="G108" s="220"/>
      <c r="H108" s="220"/>
      <c r="I108" s="164"/>
      <c r="J108" s="61"/>
    </row>
    <row r="109" spans="1:10" ht="15" customHeight="1" x14ac:dyDescent="0.25">
      <c r="A109" s="56"/>
      <c r="B109" s="80" t="str">
        <f>IF(ReportType=Lists!$O$2, "", "Number of Change Orders")</f>
        <v/>
      </c>
      <c r="C109" s="213"/>
      <c r="D109" s="214"/>
      <c r="E109" s="217"/>
      <c r="F109" s="218"/>
      <c r="G109" s="218"/>
      <c r="H109" s="218"/>
      <c r="I109" s="219"/>
      <c r="J109" s="57"/>
    </row>
    <row r="110" spans="1:10" ht="15" customHeight="1" x14ac:dyDescent="0.25">
      <c r="A110" s="56"/>
      <c r="B110" s="80" t="str">
        <f>IF(ReportType=Lists!$O$2, "", "Total Value of Change Orders")</f>
        <v/>
      </c>
      <c r="C110" s="221"/>
      <c r="D110" s="222"/>
      <c r="E110" s="120"/>
      <c r="F110" s="121"/>
      <c r="G110" s="121"/>
      <c r="H110" s="121"/>
      <c r="I110" s="122"/>
      <c r="J110" s="57"/>
    </row>
    <row r="111" spans="1:10" ht="15" customHeight="1" x14ac:dyDescent="0.25">
      <c r="A111" s="56"/>
      <c r="B111" s="80" t="str">
        <f>IF(ReportType=Lists!$O$2, "", "Outstanding Liabilities")</f>
        <v/>
      </c>
      <c r="C111" s="221"/>
      <c r="D111" s="222"/>
      <c r="E111" s="120"/>
      <c r="F111" s="121"/>
      <c r="G111" s="121"/>
      <c r="H111" s="121"/>
      <c r="I111" s="122"/>
      <c r="J111" s="57"/>
    </row>
    <row r="112" spans="1:10" x14ac:dyDescent="0.25">
      <c r="A112" s="56"/>
      <c r="B112" s="18" t="str">
        <f>IF(ReportType=Lists!$O$2, "", "Unsettled Claims")</f>
        <v/>
      </c>
      <c r="C112" s="215"/>
      <c r="D112" s="216"/>
      <c r="E112" s="217"/>
      <c r="F112" s="218"/>
      <c r="G112" s="218"/>
      <c r="H112" s="218"/>
      <c r="I112" s="219"/>
      <c r="J112" s="57"/>
    </row>
    <row r="113" spans="1:10" ht="9.9499999999999993" customHeight="1" x14ac:dyDescent="0.25">
      <c r="A113" s="56"/>
      <c r="J113" s="57"/>
    </row>
    <row r="114" spans="1:10" ht="15.75" thickBot="1" x14ac:dyDescent="0.3">
      <c r="A114" s="56"/>
      <c r="B114" s="1" t="s">
        <v>20</v>
      </c>
      <c r="J114" s="57"/>
    </row>
    <row r="115" spans="1:10" x14ac:dyDescent="0.25">
      <c r="A115" s="56"/>
      <c r="B115" s="195" t="s">
        <v>222</v>
      </c>
      <c r="C115" s="196"/>
      <c r="D115" s="196"/>
      <c r="E115" s="196"/>
      <c r="F115" s="196"/>
      <c r="G115" s="196"/>
      <c r="H115" s="196"/>
      <c r="I115" s="197"/>
      <c r="J115" s="57"/>
    </row>
    <row r="116" spans="1:10" x14ac:dyDescent="0.25">
      <c r="A116" s="56"/>
      <c r="B116" s="198"/>
      <c r="C116" s="199"/>
      <c r="D116" s="199"/>
      <c r="E116" s="199"/>
      <c r="F116" s="199"/>
      <c r="G116" s="199"/>
      <c r="H116" s="199"/>
      <c r="I116" s="200"/>
      <c r="J116" s="57"/>
    </row>
    <row r="117" spans="1:10" x14ac:dyDescent="0.25">
      <c r="A117" s="56"/>
      <c r="B117" s="198"/>
      <c r="C117" s="199"/>
      <c r="D117" s="199"/>
      <c r="E117" s="199"/>
      <c r="F117" s="199"/>
      <c r="G117" s="199"/>
      <c r="H117" s="199"/>
      <c r="I117" s="200"/>
      <c r="J117" s="57"/>
    </row>
    <row r="118" spans="1:10" x14ac:dyDescent="0.25">
      <c r="A118" s="56"/>
      <c r="B118" s="198"/>
      <c r="C118" s="199"/>
      <c r="D118" s="199"/>
      <c r="E118" s="199"/>
      <c r="F118" s="199"/>
      <c r="G118" s="199"/>
      <c r="H118" s="199"/>
      <c r="I118" s="200"/>
      <c r="J118" s="57"/>
    </row>
    <row r="119" spans="1:10" x14ac:dyDescent="0.25">
      <c r="A119" s="56"/>
      <c r="B119" s="198"/>
      <c r="C119" s="199"/>
      <c r="D119" s="199"/>
      <c r="E119" s="199"/>
      <c r="F119" s="199"/>
      <c r="G119" s="199"/>
      <c r="H119" s="199"/>
      <c r="I119" s="200"/>
      <c r="J119" s="57"/>
    </row>
    <row r="120" spans="1:10" x14ac:dyDescent="0.25">
      <c r="A120" s="56"/>
      <c r="B120" s="198"/>
      <c r="C120" s="199"/>
      <c r="D120" s="199"/>
      <c r="E120" s="199"/>
      <c r="F120" s="199"/>
      <c r="G120" s="199"/>
      <c r="H120" s="199"/>
      <c r="I120" s="200"/>
      <c r="J120" s="57"/>
    </row>
    <row r="121" spans="1:10" x14ac:dyDescent="0.25">
      <c r="A121" s="56"/>
      <c r="B121" s="198"/>
      <c r="C121" s="199"/>
      <c r="D121" s="199"/>
      <c r="E121" s="199"/>
      <c r="F121" s="199"/>
      <c r="G121" s="199"/>
      <c r="H121" s="199"/>
      <c r="I121" s="200"/>
      <c r="J121" s="57"/>
    </row>
    <row r="122" spans="1:10" x14ac:dyDescent="0.25">
      <c r="A122" s="56"/>
      <c r="B122" s="198"/>
      <c r="C122" s="199"/>
      <c r="D122" s="199"/>
      <c r="E122" s="199"/>
      <c r="F122" s="199"/>
      <c r="G122" s="199"/>
      <c r="H122" s="199"/>
      <c r="I122" s="200"/>
      <c r="J122" s="57"/>
    </row>
    <row r="123" spans="1:10" x14ac:dyDescent="0.25">
      <c r="A123" s="56"/>
      <c r="B123" s="198"/>
      <c r="C123" s="199"/>
      <c r="D123" s="199"/>
      <c r="E123" s="199"/>
      <c r="F123" s="199"/>
      <c r="G123" s="199"/>
      <c r="H123" s="199"/>
      <c r="I123" s="200"/>
      <c r="J123" s="57"/>
    </row>
    <row r="124" spans="1:10" x14ac:dyDescent="0.25">
      <c r="A124" s="56"/>
      <c r="B124" s="198"/>
      <c r="C124" s="199"/>
      <c r="D124" s="199"/>
      <c r="E124" s="199"/>
      <c r="F124" s="199"/>
      <c r="G124" s="199"/>
      <c r="H124" s="199"/>
      <c r="I124" s="200"/>
      <c r="J124" s="57"/>
    </row>
    <row r="125" spans="1:10" x14ac:dyDescent="0.25">
      <c r="A125" s="56"/>
      <c r="B125" s="198"/>
      <c r="C125" s="199"/>
      <c r="D125" s="199"/>
      <c r="E125" s="199"/>
      <c r="F125" s="199"/>
      <c r="G125" s="199"/>
      <c r="H125" s="199"/>
      <c r="I125" s="200"/>
      <c r="J125" s="57"/>
    </row>
    <row r="126" spans="1:10" x14ac:dyDescent="0.25">
      <c r="A126" s="56"/>
      <c r="B126" s="198"/>
      <c r="C126" s="199"/>
      <c r="D126" s="199"/>
      <c r="E126" s="199"/>
      <c r="F126" s="199"/>
      <c r="G126" s="199"/>
      <c r="H126" s="199"/>
      <c r="I126" s="200"/>
      <c r="J126" s="57"/>
    </row>
    <row r="127" spans="1:10" x14ac:dyDescent="0.25">
      <c r="A127" s="56"/>
      <c r="B127" s="198"/>
      <c r="C127" s="199"/>
      <c r="D127" s="199"/>
      <c r="E127" s="199"/>
      <c r="F127" s="199"/>
      <c r="G127" s="199"/>
      <c r="H127" s="199"/>
      <c r="I127" s="200"/>
      <c r="J127" s="57"/>
    </row>
    <row r="128" spans="1:10" x14ac:dyDescent="0.25">
      <c r="A128" s="56"/>
      <c r="B128" s="198"/>
      <c r="C128" s="199"/>
      <c r="D128" s="199"/>
      <c r="E128" s="199"/>
      <c r="F128" s="199"/>
      <c r="G128" s="199"/>
      <c r="H128" s="199"/>
      <c r="I128" s="200"/>
      <c r="J128" s="57"/>
    </row>
    <row r="129" spans="1:10" x14ac:dyDescent="0.25">
      <c r="A129" s="56"/>
      <c r="B129" s="198"/>
      <c r="C129" s="199"/>
      <c r="D129" s="199"/>
      <c r="E129" s="199"/>
      <c r="F129" s="199"/>
      <c r="G129" s="199"/>
      <c r="H129" s="199"/>
      <c r="I129" s="200"/>
      <c r="J129" s="57"/>
    </row>
    <row r="130" spans="1:10" x14ac:dyDescent="0.25">
      <c r="A130" s="56"/>
      <c r="B130" s="198"/>
      <c r="C130" s="199"/>
      <c r="D130" s="199"/>
      <c r="E130" s="199"/>
      <c r="F130" s="199"/>
      <c r="G130" s="199"/>
      <c r="H130" s="199"/>
      <c r="I130" s="200"/>
      <c r="J130" s="57"/>
    </row>
    <row r="131" spans="1:10" x14ac:dyDescent="0.25">
      <c r="A131" s="56"/>
      <c r="B131" s="198"/>
      <c r="C131" s="199"/>
      <c r="D131" s="199"/>
      <c r="E131" s="199"/>
      <c r="F131" s="199"/>
      <c r="G131" s="199"/>
      <c r="H131" s="199"/>
      <c r="I131" s="200"/>
      <c r="J131" s="57"/>
    </row>
    <row r="132" spans="1:10" x14ac:dyDescent="0.25">
      <c r="A132" s="56"/>
      <c r="B132" s="198"/>
      <c r="C132" s="199"/>
      <c r="D132" s="199"/>
      <c r="E132" s="199"/>
      <c r="F132" s="199"/>
      <c r="G132" s="199"/>
      <c r="H132" s="199"/>
      <c r="I132" s="200"/>
      <c r="J132" s="57"/>
    </row>
    <row r="133" spans="1:10" x14ac:dyDescent="0.25">
      <c r="A133" s="56"/>
      <c r="B133" s="198"/>
      <c r="C133" s="199"/>
      <c r="D133" s="199"/>
      <c r="E133" s="199"/>
      <c r="F133" s="199"/>
      <c r="G133" s="199"/>
      <c r="H133" s="199"/>
      <c r="I133" s="200"/>
      <c r="J133" s="57"/>
    </row>
    <row r="134" spans="1:10" ht="15.75" thickBot="1" x14ac:dyDescent="0.3">
      <c r="A134" s="56"/>
      <c r="B134" s="201"/>
      <c r="C134" s="202"/>
      <c r="D134" s="202"/>
      <c r="E134" s="202"/>
      <c r="F134" s="202"/>
      <c r="G134" s="202"/>
      <c r="H134" s="202"/>
      <c r="I134" s="203"/>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4 A57:D58 G57:J58 A71:J78 A65:D70 H65:J70 A85:J87 A79:D84 H79:J84 A91:J91 A88:D90 G88:J90 A95:J99 A92:D94 G92:J94 A104:J109 A100:D103 G100:J103">
    <cfRule type="expression" dxfId="8" priority="9">
      <formula>CELL("PROTECT", A1)=0</formula>
    </cfRule>
  </conditionalFormatting>
  <conditionalFormatting sqref="E95:I96">
    <cfRule type="expression" dxfId="7" priority="8">
      <formula>$B95=""</formula>
    </cfRule>
  </conditionalFormatting>
  <conditionalFormatting sqref="E57:F58">
    <cfRule type="expression" dxfId="6" priority="6">
      <formula>CELL("PROTECT", E57)=0</formula>
    </cfRule>
  </conditionalFormatting>
  <conditionalFormatting sqref="E65:G70">
    <cfRule type="expression" dxfId="5" priority="5">
      <formula>CELL("PROTECT", E65)=0</formula>
    </cfRule>
  </conditionalFormatting>
  <conditionalFormatting sqref="E82:G84 E81:F81 E79:G80">
    <cfRule type="expression" dxfId="4" priority="4">
      <formula>CELL("PROTECT", E79)=0</formula>
    </cfRule>
  </conditionalFormatting>
  <conditionalFormatting sqref="E88:F90">
    <cfRule type="expression" dxfId="3" priority="3">
      <formula>CELL("PROTECT", E88)=0</formula>
    </cfRule>
  </conditionalFormatting>
  <conditionalFormatting sqref="E92:F94">
    <cfRule type="expression" dxfId="2" priority="2">
      <formula>CELL("PROTECT", E92)=0</formula>
    </cfRule>
  </conditionalFormatting>
  <conditionalFormatting sqref="E100:F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8419E70A-25C1-42E4-8B58-EF2B473F6956}"/>
  </hyperlinks>
  <pageMargins left="0.45" right="0.45" top="0.5" bottom="0.5" header="0.3" footer="0.3"/>
  <pageSetup scale="66" fitToHeight="2" orientation="portrait" r:id="rId2"/>
  <headerFooter>
    <oddFooter>&amp;C&amp;P</oddFooter>
  </headerFooter>
  <rowBreaks count="1" manualBreakCount="1">
    <brk id="63" max="9" man="1"/>
  </rowBreaks>
  <extLst>
    <ext xmlns:x14="http://schemas.microsoft.com/office/spreadsheetml/2009/9/main" uri="{78C0D931-6437-407d-A8EE-F0AAD7539E65}">
      <x14:conditionalFormattings>
        <x14:conditionalFormatting xmlns:xm="http://schemas.microsoft.com/office/excel/2006/main">
          <x14:cfRule type="expression" priority="7"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206</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2023-12-20T19:48:10Z</dcterms:modified>
</cp:coreProperties>
</file>