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24226"/>
  <mc:AlternateContent xmlns:mc="http://schemas.openxmlformats.org/markup-compatibility/2006">
    <mc:Choice Requires="x15">
      <x15ac:absPath xmlns:x15ac="http://schemas.microsoft.com/office/spreadsheetml/2010/11/ac" url="O:\2023-25 Capital Budget Development Workshops (2021)\handouts\"/>
    </mc:Choice>
  </mc:AlternateContent>
  <xr:revisionPtr revIDLastSave="0" documentId="8_{06DC5E10-13D5-4B09-8CF7-A47891A9C23D}" xr6:coauthVersionLast="36" xr6:coauthVersionMax="36" xr10:uidLastSave="{00000000-0000-0000-0000-000000000000}"/>
  <bookViews>
    <workbookView xWindow="0" yWindow="0" windowWidth="28800" windowHeight="12225" xr2:uid="{00000000-000D-0000-FFFF-FFFF00000000}"/>
  </bookViews>
  <sheets>
    <sheet name="How to use this worksheet" sheetId="7" r:id="rId1"/>
    <sheet name="My Project" sheetId="5" r:id="rId2"/>
    <sheet name="Expected Cost" sheetId="6" r:id="rId3"/>
    <sheet name="Consolidated Score Sheet" sheetId="1" r:id="rId4"/>
    <sheet name="Parameters" sheetId="3" r:id="rId5"/>
    <sheet name="Priorities" sheetId="2" r:id="rId6"/>
  </sheets>
  <definedNames>
    <definedName name="_xlnm.Print_Area" localSheetId="3">'Consolidated Score Sheet'!$B$5:$K$168</definedName>
    <definedName name="_xlnm.Print_Area" localSheetId="2">'Expected Cost'!$B$2:$H$54</definedName>
    <definedName name="_xlnm.Print_Area" localSheetId="0">'How to use this worksheet'!$B$2:$D$67</definedName>
    <definedName name="_xlnm.Print_Area" localSheetId="1">'My Project'!$C$2:$F$138</definedName>
    <definedName name="_xlnm.Print_Area" localSheetId="4">Parameters!$B$2:$E$34</definedName>
    <definedName name="_xlnm.Print_Area" localSheetId="5">Priorities!$B$3:$F$13</definedName>
    <definedName name="_xlnm.Print_Titles" localSheetId="3">'Consolidated Score Sheet'!$3:$4</definedName>
    <definedName name="_xlnm.Print_Titles" localSheetId="1">'My Project'!$2:$3</definedName>
  </definedNames>
  <calcPr calcId="191029"/>
</workbook>
</file>

<file path=xl/calcChain.xml><?xml version="1.0" encoding="utf-8"?>
<calcChain xmlns="http://schemas.openxmlformats.org/spreadsheetml/2006/main">
  <c r="J70" i="1" l="1"/>
  <c r="J116" i="1"/>
  <c r="J144" i="1"/>
  <c r="D15" i="5" l="1"/>
  <c r="D14" i="5"/>
  <c r="D24" i="5"/>
  <c r="H143" i="1" l="1"/>
  <c r="H142" i="1"/>
  <c r="H141" i="1"/>
  <c r="H140" i="1"/>
  <c r="H139" i="1"/>
  <c r="H138" i="1"/>
  <c r="H115" i="1"/>
  <c r="H114" i="1"/>
  <c r="H113" i="1"/>
  <c r="H112" i="1"/>
  <c r="H111" i="1"/>
  <c r="H110" i="1"/>
  <c r="H69" i="1"/>
  <c r="H68" i="1"/>
  <c r="H67" i="1"/>
  <c r="H66" i="1"/>
  <c r="H65" i="1"/>
  <c r="H64" i="1"/>
  <c r="F19" i="6" l="1"/>
  <c r="C7" i="3" l="1"/>
  <c r="I144" i="1" l="1"/>
  <c r="I143" i="1"/>
  <c r="J143" i="1" s="1"/>
  <c r="I142" i="1"/>
  <c r="J142" i="1" s="1"/>
  <c r="I141" i="1"/>
  <c r="J141" i="1" s="1"/>
  <c r="I140" i="1"/>
  <c r="J140" i="1" s="1"/>
  <c r="I139" i="1"/>
  <c r="J139" i="1" s="1"/>
  <c r="I138" i="1"/>
  <c r="J138" i="1" s="1"/>
  <c r="E70" i="5"/>
  <c r="E69" i="5"/>
  <c r="E54" i="5"/>
  <c r="D54" i="5"/>
  <c r="F53" i="5"/>
  <c r="F52" i="5"/>
  <c r="F105" i="5"/>
  <c r="F104" i="5"/>
  <c r="F103" i="5"/>
  <c r="F102" i="5"/>
  <c r="F101" i="5"/>
  <c r="F100" i="5"/>
  <c r="F95" i="5"/>
  <c r="F94" i="5"/>
  <c r="F93" i="5"/>
  <c r="F92" i="5"/>
  <c r="F91" i="5"/>
  <c r="F90" i="5"/>
  <c r="E105" i="5"/>
  <c r="E104" i="5"/>
  <c r="E103" i="5"/>
  <c r="E102" i="5"/>
  <c r="E101" i="5"/>
  <c r="E100" i="5"/>
  <c r="F137" i="5"/>
  <c r="F136" i="5"/>
  <c r="F135" i="5"/>
  <c r="F134" i="5"/>
  <c r="F133" i="5"/>
  <c r="F132" i="5"/>
  <c r="E137" i="5"/>
  <c r="E136" i="5"/>
  <c r="E135" i="5"/>
  <c r="E134" i="5"/>
  <c r="E133" i="5"/>
  <c r="E132" i="5"/>
  <c r="F127" i="5"/>
  <c r="F126" i="5"/>
  <c r="F125" i="5"/>
  <c r="F124" i="5"/>
  <c r="F123" i="5"/>
  <c r="F122" i="5"/>
  <c r="D127" i="5"/>
  <c r="D126" i="5"/>
  <c r="D125" i="5"/>
  <c r="D124" i="5"/>
  <c r="D123" i="5"/>
  <c r="D122" i="5"/>
  <c r="E71" i="5" l="1"/>
  <c r="F54" i="5"/>
  <c r="E106" i="5"/>
  <c r="E138" i="5"/>
  <c r="D7" i="5" l="1"/>
  <c r="C8" i="3" s="1"/>
  <c r="K159" i="1"/>
  <c r="K125" i="1"/>
  <c r="K81" i="1"/>
  <c r="J37" i="1"/>
  <c r="J12" i="1"/>
  <c r="E5" i="2"/>
  <c r="K13" i="1" s="1"/>
  <c r="K11" i="1"/>
  <c r="K36" i="1"/>
  <c r="J35" i="1"/>
  <c r="J34" i="1"/>
  <c r="J33" i="1"/>
  <c r="J32" i="1"/>
  <c r="J30" i="1"/>
  <c r="J29" i="1"/>
  <c r="J28" i="1"/>
  <c r="J26" i="1"/>
  <c r="J25" i="1"/>
  <c r="J24" i="1"/>
  <c r="J23" i="1"/>
  <c r="J21" i="1"/>
  <c r="J20" i="1"/>
  <c r="J19" i="1"/>
  <c r="J18" i="1"/>
  <c r="J7" i="1"/>
  <c r="J36" i="1" l="1"/>
  <c r="J38" i="1" l="1"/>
  <c r="D30" i="5"/>
  <c r="C15" i="3" s="1"/>
  <c r="D62" i="5" l="1"/>
  <c r="D95" i="5"/>
  <c r="D94" i="5"/>
  <c r="D93" i="5"/>
  <c r="D92" i="5"/>
  <c r="D91" i="5"/>
  <c r="D90" i="5"/>
  <c r="D116" i="5"/>
  <c r="E116" i="5" s="1"/>
  <c r="E118" i="5" s="1"/>
  <c r="D84" i="5"/>
  <c r="D70" i="5" l="1"/>
  <c r="F70" i="5" s="1"/>
  <c r="D69" i="5"/>
  <c r="E84" i="5"/>
  <c r="E86" i="5" s="1"/>
  <c r="G46" i="1"/>
  <c r="G43" i="1"/>
  <c r="G45" i="1"/>
  <c r="G49" i="1"/>
  <c r="G48" i="1"/>
  <c r="G44" i="1"/>
  <c r="G47" i="1"/>
  <c r="D128" i="5"/>
  <c r="E128" i="5" s="1"/>
  <c r="D96" i="5"/>
  <c r="E96" i="5" s="1"/>
  <c r="D5" i="5"/>
  <c r="D8" i="5"/>
  <c r="D10" i="5" l="1"/>
  <c r="C11" i="3" s="1"/>
  <c r="C9" i="3"/>
  <c r="F69" i="5"/>
  <c r="G136" i="1" s="1"/>
  <c r="D71" i="5"/>
  <c r="F71" i="5" s="1"/>
  <c r="G93" i="1"/>
  <c r="G88" i="1"/>
  <c r="G92" i="1"/>
  <c r="G94" i="1"/>
  <c r="G89" i="1"/>
  <c r="G91" i="1"/>
  <c r="G90" i="1"/>
  <c r="G102" i="1"/>
  <c r="G98" i="1"/>
  <c r="G103" i="1"/>
  <c r="G101" i="1"/>
  <c r="G97" i="1"/>
  <c r="G96" i="1"/>
  <c r="G99" i="1"/>
  <c r="G100" i="1"/>
  <c r="G56" i="1"/>
  <c r="G57" i="1"/>
  <c r="G54" i="1"/>
  <c r="G53" i="1"/>
  <c r="G52" i="1"/>
  <c r="G55" i="1"/>
  <c r="G51" i="1"/>
  <c r="D9" i="5"/>
  <c r="C6" i="6"/>
  <c r="D66" i="5"/>
  <c r="I116" i="1"/>
  <c r="I115" i="1"/>
  <c r="J115" i="1" s="1"/>
  <c r="I114" i="1"/>
  <c r="J114" i="1" s="1"/>
  <c r="I113" i="1"/>
  <c r="J113" i="1" s="1"/>
  <c r="I112" i="1"/>
  <c r="J112" i="1" s="1"/>
  <c r="I111" i="1"/>
  <c r="J111" i="1" s="1"/>
  <c r="I110" i="1"/>
  <c r="J110" i="1" s="1"/>
  <c r="C4" i="6"/>
  <c r="C5" i="6" s="1"/>
  <c r="D14" i="6" l="1"/>
  <c r="F14" i="6" s="1"/>
  <c r="D16" i="6"/>
  <c r="F16" i="6" s="1"/>
  <c r="G134" i="1"/>
  <c r="G133" i="1"/>
  <c r="J133" i="1" s="1"/>
  <c r="G135" i="1"/>
  <c r="E7" i="5"/>
  <c r="D8" i="3" s="1"/>
  <c r="C10" i="3"/>
  <c r="C22" i="3"/>
  <c r="J118" i="1"/>
  <c r="J96" i="1"/>
  <c r="J88" i="1"/>
  <c r="J76" i="1"/>
  <c r="J72" i="1"/>
  <c r="J51" i="1"/>
  <c r="J43" i="1"/>
  <c r="C21" i="3"/>
  <c r="J10" i="1"/>
  <c r="J9" i="1"/>
  <c r="J8" i="1"/>
  <c r="E20" i="6" l="1"/>
  <c r="D12" i="6"/>
  <c r="F12" i="6" s="1"/>
  <c r="D17" i="6"/>
  <c r="F17" i="6" s="1"/>
  <c r="D13" i="6"/>
  <c r="F13" i="6" s="1"/>
  <c r="D15" i="6"/>
  <c r="F15" i="6" s="1"/>
  <c r="D18" i="6"/>
  <c r="F18" i="6" s="1"/>
  <c r="J11" i="1"/>
  <c r="C6" i="3"/>
  <c r="D38" i="5"/>
  <c r="E8" i="5"/>
  <c r="D9" i="3" s="1"/>
  <c r="J153" i="1"/>
  <c r="J152" i="1"/>
  <c r="J151" i="1"/>
  <c r="J150" i="1"/>
  <c r="J136" i="1"/>
  <c r="J135" i="1"/>
  <c r="J134" i="1"/>
  <c r="J120" i="1"/>
  <c r="J119" i="1"/>
  <c r="J103" i="1"/>
  <c r="J102" i="1"/>
  <c r="J101" i="1"/>
  <c r="J100" i="1"/>
  <c r="J99" i="1"/>
  <c r="J98" i="1"/>
  <c r="J97" i="1"/>
  <c r="J94" i="1"/>
  <c r="J93" i="1"/>
  <c r="J92" i="1"/>
  <c r="J91" i="1"/>
  <c r="J90" i="1"/>
  <c r="J89" i="1"/>
  <c r="J78" i="1"/>
  <c r="J77" i="1"/>
  <c r="J74" i="1"/>
  <c r="J73" i="1"/>
  <c r="I70" i="1"/>
  <c r="I69" i="1"/>
  <c r="J69" i="1" s="1"/>
  <c r="I68" i="1"/>
  <c r="J68" i="1" s="1"/>
  <c r="I67" i="1"/>
  <c r="J67" i="1" s="1"/>
  <c r="I66" i="1"/>
  <c r="J66" i="1" s="1"/>
  <c r="I65" i="1"/>
  <c r="J65" i="1" s="1"/>
  <c r="I64" i="1"/>
  <c r="J64" i="1" s="1"/>
  <c r="J57" i="1"/>
  <c r="J56" i="1"/>
  <c r="J55" i="1"/>
  <c r="J54" i="1"/>
  <c r="J53" i="1"/>
  <c r="J52" i="1"/>
  <c r="J49" i="1"/>
  <c r="J48" i="1"/>
  <c r="J47" i="1"/>
  <c r="J46" i="1"/>
  <c r="J45" i="1"/>
  <c r="J44" i="1"/>
  <c r="F20" i="6" l="1"/>
  <c r="F21" i="6" s="1"/>
  <c r="E36" i="5"/>
  <c r="D20" i="5"/>
  <c r="E5" i="5"/>
  <c r="D6" i="3" s="1"/>
  <c r="E9" i="5"/>
  <c r="D10" i="3" s="1"/>
  <c r="E6" i="5"/>
  <c r="E21" i="6"/>
  <c r="B21" i="6" s="1"/>
  <c r="E23" i="5" l="1"/>
  <c r="D34" i="5"/>
  <c r="C20" i="3" s="1"/>
  <c r="E10" i="5"/>
  <c r="D11" i="3" s="1"/>
  <c r="D7" i="3"/>
  <c r="C14" i="3"/>
  <c r="C16" i="3" s="1"/>
  <c r="E13" i="5"/>
  <c r="E28" i="5"/>
  <c r="E25" i="5"/>
  <c r="E27" i="5"/>
  <c r="E24" i="5"/>
  <c r="E29" i="5"/>
  <c r="E26" i="5"/>
  <c r="F22" i="6"/>
  <c r="H23" i="6" s="1"/>
  <c r="G158" i="1" s="1"/>
  <c r="J158" i="1" s="1"/>
  <c r="C19" i="3"/>
  <c r="H21" i="6"/>
  <c r="G156" i="1" s="1"/>
  <c r="J156" i="1" s="1"/>
  <c r="H20" i="6"/>
  <c r="G155" i="1" s="1"/>
  <c r="J155" i="1" s="1"/>
  <c r="E18" i="5"/>
  <c r="E15" i="5"/>
  <c r="E14" i="5"/>
  <c r="E19" i="5"/>
  <c r="E16" i="5"/>
  <c r="E17" i="5"/>
  <c r="D37" i="5" l="1"/>
  <c r="E35" i="5" s="1"/>
  <c r="E38" i="5" s="1"/>
  <c r="D28" i="3"/>
  <c r="E30" i="5"/>
  <c r="D39" i="5"/>
  <c r="E39" i="5" s="1"/>
  <c r="E10" i="2"/>
  <c r="K38" i="1" s="1"/>
  <c r="H22" i="6"/>
  <c r="G157" i="1" s="1"/>
  <c r="J157" i="1" s="1"/>
  <c r="J159" i="1" s="1"/>
  <c r="E33" i="5"/>
  <c r="E37" i="5"/>
  <c r="G60" i="1"/>
  <c r="J60" i="1" s="1"/>
  <c r="G106" i="1"/>
  <c r="J106" i="1" s="1"/>
  <c r="G59" i="1"/>
  <c r="J59" i="1" s="1"/>
  <c r="G105" i="1"/>
  <c r="J105" i="1" s="1"/>
  <c r="G108" i="1"/>
  <c r="J108" i="1" s="1"/>
  <c r="G62" i="1"/>
  <c r="J62" i="1" s="1"/>
  <c r="E20" i="5"/>
  <c r="C23" i="3"/>
  <c r="C24" i="3"/>
  <c r="E34" i="5" l="1"/>
  <c r="D20" i="3"/>
  <c r="D21" i="3"/>
  <c r="E43" i="5"/>
  <c r="D29" i="3" s="1"/>
  <c r="G107" i="1"/>
  <c r="J107" i="1" s="1"/>
  <c r="J125" i="1" s="1"/>
  <c r="G61" i="1"/>
  <c r="J61" i="1" s="1"/>
  <c r="J81" i="1" s="1"/>
  <c r="D42" i="5"/>
  <c r="C28" i="3" s="1"/>
  <c r="D22" i="3"/>
  <c r="E7" i="2"/>
  <c r="K83" i="1" s="1"/>
  <c r="J82" i="1"/>
  <c r="E9" i="2"/>
  <c r="K161" i="1" s="1"/>
  <c r="J160" i="1"/>
  <c r="J161" i="1" s="1"/>
  <c r="E8" i="2"/>
  <c r="K127" i="1" s="1"/>
  <c r="J126" i="1"/>
  <c r="E6" i="2"/>
  <c r="D23" i="3"/>
  <c r="D25" i="3" s="1"/>
  <c r="C25" i="3"/>
  <c r="D19" i="3"/>
  <c r="E46" i="5" l="1"/>
  <c r="E45" i="5"/>
  <c r="D43" i="5"/>
  <c r="C29" i="3" s="1"/>
  <c r="E44" i="5"/>
  <c r="J13" i="1"/>
  <c r="J15" i="1"/>
  <c r="J167" i="1" s="1"/>
  <c r="J127" i="1"/>
  <c r="J83" i="1"/>
  <c r="D24" i="3"/>
  <c r="D44" i="5" l="1"/>
  <c r="C30" i="3" s="1"/>
  <c r="D30" i="3"/>
  <c r="D45" i="5"/>
  <c r="C31" i="3" s="1"/>
  <c r="D31" i="3"/>
  <c r="K129" i="1" s="1"/>
  <c r="D46" i="5"/>
  <c r="C32" i="3" s="1"/>
  <c r="D32" i="3"/>
  <c r="K163" i="1" s="1"/>
  <c r="E47" i="5"/>
  <c r="D33" i="3" s="1"/>
  <c r="J39" i="1"/>
  <c r="D47" i="5" l="1"/>
  <c r="C33" i="3" s="1"/>
  <c r="J162" i="1"/>
  <c r="J163" i="1" s="1"/>
  <c r="J128" i="1"/>
  <c r="J129" i="1" s="1"/>
  <c r="J84" i="1"/>
  <c r="J85" i="1" s="1"/>
  <c r="K40" i="1"/>
  <c r="J40" i="1"/>
  <c r="J166" i="1" l="1"/>
  <c r="J168" i="1" s="1"/>
  <c r="K8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Wayne Doty</author>
  </authors>
  <commentList>
    <comment ref="D5" authorId="0" shapeId="0" xr:uid="{00000000-0006-0000-0100-000001000000}">
      <text>
        <r>
          <rPr>
            <b/>
            <sz val="9"/>
            <color indexed="81"/>
            <rFont val="Tahoma"/>
            <family val="2"/>
          </rPr>
          <t>Wayne Doty:</t>
        </r>
        <r>
          <rPr>
            <sz val="9"/>
            <color indexed="81"/>
            <rFont val="Tahoma"/>
            <family val="2"/>
          </rPr>
          <t xml:space="preserve">
From renovation calculation below.</t>
        </r>
      </text>
    </comment>
    <comment ref="D7" authorId="0" shapeId="0" xr:uid="{00000000-0006-0000-0100-000002000000}">
      <text>
        <r>
          <rPr>
            <b/>
            <sz val="9"/>
            <color indexed="81"/>
            <rFont val="Tahoma"/>
            <family val="2"/>
          </rPr>
          <t>Wayne Doty:</t>
        </r>
        <r>
          <rPr>
            <sz val="9"/>
            <color indexed="81"/>
            <rFont val="Tahoma"/>
            <family val="2"/>
          </rPr>
          <t xml:space="preserve">
From replacement and renovation calculations below.</t>
        </r>
      </text>
    </comment>
    <comment ref="D8" authorId="0" shapeId="0" xr:uid="{00000000-0006-0000-0100-000003000000}">
      <text>
        <r>
          <rPr>
            <b/>
            <sz val="9"/>
            <color indexed="81"/>
            <rFont val="Tahoma"/>
            <family val="2"/>
          </rPr>
          <t>Wayne Doty:</t>
        </r>
        <r>
          <rPr>
            <sz val="9"/>
            <color indexed="81"/>
            <rFont val="Tahoma"/>
            <family val="2"/>
          </rPr>
          <t xml:space="preserve">
From replacement calculation below.</t>
        </r>
      </text>
    </comment>
  </commentList>
</comments>
</file>

<file path=xl/sharedStrings.xml><?xml version="1.0" encoding="utf-8"?>
<sst xmlns="http://schemas.openxmlformats.org/spreadsheetml/2006/main" count="514" uniqueCount="324">
  <si>
    <t>Category</t>
  </si>
  <si>
    <t>Criteria</t>
  </si>
  <si>
    <t>Standard</t>
  </si>
  <si>
    <t>Possible</t>
  </si>
  <si>
    <t>Yes/No</t>
  </si>
  <si>
    <t>Points</t>
  </si>
  <si>
    <t>Matching</t>
  </si>
  <si>
    <t>Yes</t>
  </si>
  <si>
    <t>No</t>
  </si>
  <si>
    <t>variable</t>
  </si>
  <si>
    <t>Category Weighting</t>
  </si>
  <si>
    <t>Category Weighted Subtotal</t>
  </si>
  <si>
    <t>Project Weighting</t>
  </si>
  <si>
    <t>Renovation</t>
  </si>
  <si>
    <t>Building Age</t>
  </si>
  <si>
    <t>Over 50</t>
  </si>
  <si>
    <t>41 - 50</t>
  </si>
  <si>
    <t>36 - 40</t>
  </si>
  <si>
    <t>31 - 35</t>
  </si>
  <si>
    <t>26 - 30</t>
  </si>
  <si>
    <t>20 - 25</t>
  </si>
  <si>
    <t>&lt; Less than 20 years</t>
  </si>
  <si>
    <t>Building Condition</t>
  </si>
  <si>
    <t>Greater than 600</t>
  </si>
  <si>
    <t>526 - 600</t>
  </si>
  <si>
    <t>476 - 525</t>
  </si>
  <si>
    <t>451 - 475</t>
  </si>
  <si>
    <t>351 - 450</t>
  </si>
  <si>
    <t>276 - 350</t>
  </si>
  <si>
    <t>Improvements</t>
  </si>
  <si>
    <t>ASF</t>
  </si>
  <si>
    <t>Percent of total ASF</t>
  </si>
  <si>
    <t>Classroom, labs</t>
  </si>
  <si>
    <t>Student Services</t>
  </si>
  <si>
    <t>Library</t>
  </si>
  <si>
    <t>Faculty offices</t>
  </si>
  <si>
    <t>Administration</t>
  </si>
  <si>
    <t>Issues</t>
  </si>
  <si>
    <t>Seismic (documentation required)</t>
  </si>
  <si>
    <t>Life safety</t>
  </si>
  <si>
    <t>Energy code</t>
  </si>
  <si>
    <t>Building Life Extension</t>
  </si>
  <si>
    <t>31 + years</t>
  </si>
  <si>
    <t>26 - 30 years</t>
  </si>
  <si>
    <t>20 - 25 years</t>
  </si>
  <si>
    <t>Variable</t>
  </si>
  <si>
    <t>Renovation Category Subtotal</t>
  </si>
  <si>
    <t>Renovation Category Total</t>
  </si>
  <si>
    <t>Replacement</t>
  </si>
  <si>
    <t>681 - 730</t>
  </si>
  <si>
    <t>601 - 680</t>
  </si>
  <si>
    <t>0 - 275</t>
  </si>
  <si>
    <t>Planning</t>
  </si>
  <si>
    <t>Space improves program delivery and student support</t>
  </si>
  <si>
    <t>Replacement Category Subtotal</t>
  </si>
  <si>
    <t>Replacement Category Total</t>
  </si>
  <si>
    <t>New</t>
  </si>
  <si>
    <t>Programs and student support space are identified by usage and square footage</t>
  </si>
  <si>
    <t>Location of project is identified by site</t>
  </si>
  <si>
    <t>Special initiatives beyond participation rates</t>
  </si>
  <si>
    <t>Reasonable cost estimate and building efficiency</t>
  </si>
  <si>
    <t>Expected building life - 50 years or greater</t>
  </si>
  <si>
    <t>New Category Subtotal</t>
  </si>
  <si>
    <t>New Category Total</t>
  </si>
  <si>
    <t>Category Score Subtotal:</t>
  </si>
  <si>
    <t>Overarching Score Subtotal:</t>
  </si>
  <si>
    <t>Project Score:</t>
  </si>
  <si>
    <t>Relative Category Priority</t>
  </si>
  <si>
    <t>Category Points Available</t>
  </si>
  <si>
    <t>Overarching</t>
  </si>
  <si>
    <t>Square Footage</t>
  </si>
  <si>
    <t>S1</t>
  </si>
  <si>
    <t>Renovation of Existing</t>
  </si>
  <si>
    <t>S2</t>
  </si>
  <si>
    <t>New Space</t>
  </si>
  <si>
    <t>S3</t>
  </si>
  <si>
    <t>Demolished Area</t>
  </si>
  <si>
    <t>S4</t>
  </si>
  <si>
    <t>Total Affected Area</t>
  </si>
  <si>
    <t>S5</t>
  </si>
  <si>
    <t>Costs</t>
  </si>
  <si>
    <t>Acquisition</t>
  </si>
  <si>
    <t xml:space="preserve">Consultant Services </t>
  </si>
  <si>
    <t xml:space="preserve">Construction Contracts </t>
  </si>
  <si>
    <t xml:space="preserve">Equipment </t>
  </si>
  <si>
    <t>Artwork</t>
  </si>
  <si>
    <t>Other Costs</t>
  </si>
  <si>
    <t>Project Management</t>
  </si>
  <si>
    <t>C1</t>
  </si>
  <si>
    <t>Total Project Cost</t>
  </si>
  <si>
    <t>Funding</t>
  </si>
  <si>
    <t>State Appropriation</t>
  </si>
  <si>
    <t>Financed - backed by State Appropriation</t>
  </si>
  <si>
    <t>M1</t>
  </si>
  <si>
    <t>Local Funds - Cash</t>
  </si>
  <si>
    <t>M2</t>
  </si>
  <si>
    <t>Financed - backed by Local Funds</t>
  </si>
  <si>
    <t>F1</t>
  </si>
  <si>
    <t>Total Project Funding</t>
  </si>
  <si>
    <t>Variance = Cost - Funding</t>
  </si>
  <si>
    <t>M4</t>
  </si>
  <si>
    <t>Matching = 2* (Local / Appropriated) / Total Project Funding</t>
  </si>
  <si>
    <t>R4</t>
  </si>
  <si>
    <t>P4</t>
  </si>
  <si>
    <t>N4</t>
  </si>
  <si>
    <t>Total</t>
  </si>
  <si>
    <t>Goals</t>
  </si>
  <si>
    <t>Directly tied to facilities master plan</t>
  </si>
  <si>
    <t>Includes partnerships with K-12, 4yrs, business, etc.</t>
  </si>
  <si>
    <t>Project includes at least 7 of the best practices identified to reduce greenhouse gas emissions</t>
  </si>
  <si>
    <t>Overarching Subtotal</t>
  </si>
  <si>
    <t>Overarching Category Total</t>
  </si>
  <si>
    <t>My Project</t>
  </si>
  <si>
    <t>Matching = Local / Appropriated</t>
  </si>
  <si>
    <t>Parameters</t>
  </si>
  <si>
    <t>Cost</t>
  </si>
  <si>
    <t>Total project cost is less than or equal to the expected cost per square foot for the facility type, escalated to the construction mid-point.</t>
  </si>
  <si>
    <t>Project cost is more than 137% of expected cost.</t>
  </si>
  <si>
    <t>Project cost is between 100% and 111% of expected cost.</t>
  </si>
  <si>
    <t>Project cost is between 111% and 137% of expected cost.</t>
  </si>
  <si>
    <t>NOTE: Assignable square footage for Replacement and Renovation portions of the project are entered directly into the consolidated score sheet.</t>
  </si>
  <si>
    <t>Construction Mid-point:</t>
  </si>
  <si>
    <t>Expected Cost Multiplier:</t>
  </si>
  <si>
    <t>from Appendix B</t>
  </si>
  <si>
    <t>Project GSF:</t>
  </si>
  <si>
    <t>Expected Cost / GSF</t>
  </si>
  <si>
    <t>GSF by Type</t>
  </si>
  <si>
    <t>Expected Cost</t>
  </si>
  <si>
    <t>Point Thresholds</t>
  </si>
  <si>
    <t>Gross Square Footage</t>
  </si>
  <si>
    <t>Project Funding</t>
  </si>
  <si>
    <t>Expected Cost Calculations</t>
  </si>
  <si>
    <t>Mid-construction Date</t>
  </si>
  <si>
    <t>Expected Cost Multiplier</t>
  </si>
  <si>
    <t>&lt;137%</t>
  </si>
  <si>
    <t>Escalated Project Costs</t>
  </si>
  <si>
    <t>Note: Total cost and funding should be equal.</t>
  </si>
  <si>
    <t>Note: The sum of GSF by type should equal the total affected area of the project.</t>
  </si>
  <si>
    <t>The Parameters tab has intermediate calculations. No data is entered on this tab.</t>
  </si>
  <si>
    <t>This worksheet was developed to help colleges estimate a proposals potential score.</t>
  </si>
  <si>
    <t>The responses to some of the criteria can be calculated or looked up from other sources.</t>
  </si>
  <si>
    <t>Select one based on facility design and intent</t>
  </si>
  <si>
    <t>Calculated based on Project and Expected Costs</t>
  </si>
  <si>
    <t>Please let me know if you have any problems or questions.</t>
  </si>
  <si>
    <t>Thanks,</t>
  </si>
  <si>
    <t>Wayne Doty, PE</t>
  </si>
  <si>
    <t>Capital Budget Director</t>
  </si>
  <si>
    <t>State Board for Community and Technical Colleges</t>
  </si>
  <si>
    <t>Office: 360-704-4382</t>
  </si>
  <si>
    <t>Mobile: 360-827-1389</t>
  </si>
  <si>
    <t>The following data is entered on the specified tabs in the green shaded cells:</t>
  </si>
  <si>
    <t>My Project tab</t>
  </si>
  <si>
    <t>Expected Cost tab</t>
  </si>
  <si>
    <t>Consolidated Score Sheet tab</t>
  </si>
  <si>
    <t>Building</t>
  </si>
  <si>
    <t>Request Year</t>
  </si>
  <si>
    <t>Building UFI</t>
  </si>
  <si>
    <t>GSF</t>
  </si>
  <si>
    <t>Year Built</t>
  </si>
  <si>
    <t>Area to be demolished and area weighted age</t>
  </si>
  <si>
    <t>Area to be renovated and area weighted age</t>
  </si>
  <si>
    <t xml:space="preserve">Building UFI, Year Built, and GSF are available here - </t>
  </si>
  <si>
    <t>Start (Bid)</t>
  </si>
  <si>
    <t>End (SC)</t>
  </si>
  <si>
    <r>
      <t xml:space="preserve">Area weighted age of buildings to be demolished - use for projects with </t>
    </r>
    <r>
      <rPr>
        <b/>
        <sz val="11"/>
        <color theme="1"/>
        <rFont val="Calibri"/>
        <family val="2"/>
        <scheme val="minor"/>
      </rPr>
      <t>Replacement</t>
    </r>
    <r>
      <rPr>
        <sz val="11"/>
        <color theme="1"/>
        <rFont val="Calibri"/>
        <family val="2"/>
        <scheme val="minor"/>
      </rPr>
      <t xml:space="preserve"> elements.</t>
    </r>
  </si>
  <si>
    <r>
      <t xml:space="preserve">Area weighted FCS of buildings to be demolished - use for projects with </t>
    </r>
    <r>
      <rPr>
        <b/>
        <sz val="11"/>
        <color theme="1"/>
        <rFont val="Calibri"/>
        <family val="2"/>
        <scheme val="minor"/>
      </rPr>
      <t>Replacement</t>
    </r>
    <r>
      <rPr>
        <sz val="11"/>
        <color theme="1"/>
        <rFont val="Calibri"/>
        <family val="2"/>
        <scheme val="minor"/>
      </rPr>
      <t xml:space="preserve"> elements.</t>
    </r>
  </si>
  <si>
    <r>
      <t xml:space="preserve">Area weighted age of buildings to be renovated - use for projects with </t>
    </r>
    <r>
      <rPr>
        <b/>
        <sz val="11"/>
        <color theme="1"/>
        <rFont val="Calibri"/>
        <family val="2"/>
        <scheme val="minor"/>
      </rPr>
      <t>Renovation</t>
    </r>
    <r>
      <rPr>
        <sz val="11"/>
        <color theme="1"/>
        <rFont val="Calibri"/>
        <family val="2"/>
        <scheme val="minor"/>
      </rPr>
      <t xml:space="preserve"> elements.</t>
    </r>
  </si>
  <si>
    <t xml:space="preserve">  GSF of buildings to be demolished</t>
  </si>
  <si>
    <t xml:space="preserve">  Years the buildings to be demolished were built</t>
  </si>
  <si>
    <t xml:space="preserve">  GSF of buildings to be renovated</t>
  </si>
  <si>
    <t xml:space="preserve">  Years the buildings to be renovated were built</t>
  </si>
  <si>
    <t xml:space="preserve">  The Unique Facility Identifiers for building to be renovated</t>
  </si>
  <si>
    <t xml:space="preserve">  The Unique Facility Identifiers for building to be demolished</t>
  </si>
  <si>
    <t>Construction Start and End date</t>
  </si>
  <si>
    <t>Infrastructure</t>
  </si>
  <si>
    <t>Total Points Possible:</t>
  </si>
  <si>
    <t>Cost estimates are to be submitted on OFM's latest C-100 form.</t>
  </si>
  <si>
    <t>Projects with a multiple cost drivers need to be submitted on multiple C-100s.</t>
  </si>
  <si>
    <t xml:space="preserve">This worksheet is available here - </t>
  </si>
  <si>
    <t>The total of all estimates will be the project total cost.</t>
  </si>
  <si>
    <t>Escalated Building Costs</t>
  </si>
  <si>
    <t>Escalated Infrastructure Costs</t>
  </si>
  <si>
    <t>Total Building Cost</t>
  </si>
  <si>
    <t>Total Infrastructure Cost</t>
  </si>
  <si>
    <t>Infrastructure = (Infrastructure / Total Project Cost) - Matching</t>
  </si>
  <si>
    <t>Directly tied to objectives in strategic plan</t>
  </si>
  <si>
    <t>Possible Points</t>
  </si>
  <si>
    <t>Ca</t>
  </si>
  <si>
    <t>Cb</t>
  </si>
  <si>
    <t>I4</t>
  </si>
  <si>
    <t>Program Need</t>
  </si>
  <si>
    <t>Infrastructure serves new building area constructed in this proposal. Or, serves 100% of the existing college.</t>
  </si>
  <si>
    <t>Serves 80% or more, and less than 100% of the existing college.</t>
  </si>
  <si>
    <t>Serves between 40% and 80% of college of the existing college.</t>
  </si>
  <si>
    <t>Serves 40% or less of the existing college.</t>
  </si>
  <si>
    <t>Infrastructure costs less than 5% of the total project. Or, infrastructure cost divided by previous average annual costs is twenty, or less.</t>
  </si>
  <si>
    <t>Infrastructure costs 5%, or more, and less than 10% of the total project. Or, infrastructure cost divided by previous average annual costs is greater than twenty and less than fifty.</t>
  </si>
  <si>
    <t>Infrastructure costs 10%, or more, and less than 15% of the total project. Or, infrastructure cost divided by previous average annual costs is fifty, or more, and less than one hundred.</t>
  </si>
  <si>
    <t>Infrastructure costs 15% or more of the total project. Or, infrastructure cost divided by previous average annual costs is one hundred, or more.</t>
  </si>
  <si>
    <t>Risk Mitigation</t>
  </si>
  <si>
    <t>Infrastructure serves new area building constructed in this proposal. Or, infrastructure age is at least 200% of the average life.</t>
  </si>
  <si>
    <t>Infrastructure is 100% to 200% of average life.</t>
  </si>
  <si>
    <t>Infrastructure is less than 100% of average life.</t>
  </si>
  <si>
    <t>Average life of new infrastructure is more than 30 years.</t>
  </si>
  <si>
    <t>Average life of new infrastructure is more than 25 years and less than 30 years.</t>
  </si>
  <si>
    <t>Average life or new infrastructure is 20 through 25 years.</t>
  </si>
  <si>
    <t>Average life of new infrastructure is less than 20 years.</t>
  </si>
  <si>
    <t>Infrastructure Category Subtotal</t>
  </si>
  <si>
    <t>Infrastructure Category Total</t>
  </si>
  <si>
    <t>Max 12</t>
  </si>
  <si>
    <t>Max 23</t>
  </si>
  <si>
    <t>Max 13 based on facility programming</t>
  </si>
  <si>
    <t>Fitness for Use</t>
  </si>
  <si>
    <t>To what extent does the proposed renovation address the existing deficiencies and project objectives?</t>
  </si>
  <si>
    <t>Seismic issues (documentation by a Structural Engineer is required)</t>
  </si>
  <si>
    <t>Energy code issues</t>
  </si>
  <si>
    <t>Issues Addressed</t>
  </si>
  <si>
    <t>Max 12 based on facility programming</t>
  </si>
  <si>
    <t>Max 14</t>
  </si>
  <si>
    <t>Max 7</t>
  </si>
  <si>
    <t>Max 24</t>
  </si>
  <si>
    <t>Building Age for renovation portion of project</t>
  </si>
  <si>
    <t>The Priorities tab is used to calculate Category Weighting. There are no preferences for different project elements for the 2019-21 selection.</t>
  </si>
  <si>
    <t>http://www.sbctc.edu/colleges-staff/programs-services/capital-budget/capital-budget-development.aspx</t>
  </si>
  <si>
    <t>Some of the criteria are more subjective and the scorers will decide how well a proposal scores in these areas.</t>
  </si>
  <si>
    <t>The scorers will determine how each project is ranked relative to the other projects.</t>
  </si>
  <si>
    <t>There is an appeals process for administrative errors or arbitrary and capricious decisions.</t>
  </si>
  <si>
    <t>Net Area Change = New - Demo - Circulation</t>
  </si>
  <si>
    <r>
      <t xml:space="preserve">Area weighted FCS of buildings to be renovated - used for projects with </t>
    </r>
    <r>
      <rPr>
        <b/>
        <sz val="11"/>
        <color theme="1"/>
        <rFont val="Calibri"/>
        <family val="2"/>
        <scheme val="minor"/>
      </rPr>
      <t>Renovation</t>
    </r>
    <r>
      <rPr>
        <sz val="11"/>
        <color theme="1"/>
        <rFont val="Calibri"/>
        <family val="2"/>
        <scheme val="minor"/>
      </rPr>
      <t xml:space="preserve"> elements.</t>
    </r>
  </si>
  <si>
    <r>
      <t xml:space="preserve">Exterior circulation area of buildings to be renovated - used for projects with </t>
    </r>
    <r>
      <rPr>
        <b/>
        <sz val="11"/>
        <color theme="1"/>
        <rFont val="Calibri"/>
        <family val="2"/>
        <scheme val="minor"/>
      </rPr>
      <t>Renovation</t>
    </r>
    <r>
      <rPr>
        <sz val="11"/>
        <color theme="1"/>
        <rFont val="Calibri"/>
        <family val="2"/>
        <scheme val="minor"/>
      </rPr>
      <t xml:space="preserve"> elements.</t>
    </r>
  </si>
  <si>
    <r>
      <t xml:space="preserve">Exterior circulation area allowance for </t>
    </r>
    <r>
      <rPr>
        <b/>
        <sz val="11"/>
        <color theme="1"/>
        <rFont val="Calibri"/>
        <family val="2"/>
        <scheme val="minor"/>
      </rPr>
      <t>Renovation</t>
    </r>
    <r>
      <rPr>
        <sz val="11"/>
        <color theme="1"/>
        <rFont val="Calibri"/>
        <family val="2"/>
        <scheme val="minor"/>
      </rPr>
      <t xml:space="preserve"> elements</t>
    </r>
  </si>
  <si>
    <t>Area allowance</t>
  </si>
  <si>
    <r>
      <t xml:space="preserve">Exterior circulation area of buildings to be replaced - used for projects with </t>
    </r>
    <r>
      <rPr>
        <b/>
        <sz val="11"/>
        <color theme="1"/>
        <rFont val="Calibri"/>
        <family val="2"/>
        <scheme val="minor"/>
      </rPr>
      <t>Replacement</t>
    </r>
    <r>
      <rPr>
        <sz val="11"/>
        <color theme="1"/>
        <rFont val="Calibri"/>
        <family val="2"/>
        <scheme val="minor"/>
      </rPr>
      <t xml:space="preserve"> elements.</t>
    </r>
  </si>
  <si>
    <r>
      <t xml:space="preserve">Exterior circulation area allowance for </t>
    </r>
    <r>
      <rPr>
        <b/>
        <sz val="11"/>
        <color theme="1"/>
        <rFont val="Calibri"/>
        <family val="2"/>
        <scheme val="minor"/>
      </rPr>
      <t xml:space="preserve">Replacement </t>
    </r>
    <r>
      <rPr>
        <sz val="11"/>
        <color theme="1"/>
        <rFont val="Calibri"/>
        <family val="2"/>
        <scheme val="minor"/>
      </rPr>
      <t>elements</t>
    </r>
  </si>
  <si>
    <r>
      <t xml:space="preserve">Area weighted FCS for </t>
    </r>
    <r>
      <rPr>
        <b/>
        <sz val="11"/>
        <color theme="1"/>
        <rFont val="Calibri"/>
        <family val="2"/>
        <scheme val="minor"/>
      </rPr>
      <t xml:space="preserve">Replacement </t>
    </r>
    <r>
      <rPr>
        <sz val="11"/>
        <color theme="1"/>
        <rFont val="Calibri"/>
        <family val="2"/>
        <scheme val="minor"/>
      </rPr>
      <t>portion of project.</t>
    </r>
  </si>
  <si>
    <r>
      <t xml:space="preserve">Building Age for </t>
    </r>
    <r>
      <rPr>
        <b/>
        <sz val="11"/>
        <color theme="1"/>
        <rFont val="Calibri"/>
        <family val="2"/>
        <scheme val="minor"/>
      </rPr>
      <t>Replacement</t>
    </r>
    <r>
      <rPr>
        <sz val="11"/>
        <color theme="1"/>
        <rFont val="Calibri"/>
        <family val="2"/>
        <scheme val="minor"/>
      </rPr>
      <t xml:space="preserve"> portion of project</t>
    </r>
  </si>
  <si>
    <t>State Board enrollment projections are available here -</t>
  </si>
  <si>
    <t>http://www.ofm.wa.gov/budget/facilities/fis.asp</t>
  </si>
  <si>
    <t>Fall 2016 Utilization</t>
  </si>
  <si>
    <t>Classes</t>
  </si>
  <si>
    <t>Labs</t>
  </si>
  <si>
    <t>Campus</t>
  </si>
  <si>
    <t>Contact Hours</t>
  </si>
  <si>
    <t>Work-stations</t>
  </si>
  <si>
    <t>This project net new Classroom workstations</t>
  </si>
  <si>
    <t>This project net new Laboratory workstations</t>
  </si>
  <si>
    <t>Net new workstations in project</t>
  </si>
  <si>
    <t>Future Utilization</t>
  </si>
  <si>
    <t>Net New Type 1 FTE</t>
  </si>
  <si>
    <r>
      <rPr>
        <b/>
        <sz val="11"/>
        <color theme="1"/>
        <rFont val="Calibri"/>
        <family val="2"/>
        <scheme val="minor"/>
      </rPr>
      <t>Future Utilization</t>
    </r>
    <r>
      <rPr>
        <sz val="11"/>
        <color theme="1"/>
        <rFont val="Calibri"/>
        <family val="2"/>
        <scheme val="minor"/>
      </rPr>
      <t xml:space="preserve"> - use for projects with net </t>
    </r>
    <r>
      <rPr>
        <b/>
        <sz val="11"/>
        <color theme="1"/>
        <rFont val="Calibri"/>
        <family val="2"/>
        <scheme val="minor"/>
      </rPr>
      <t>New Area</t>
    </r>
    <r>
      <rPr>
        <sz val="11"/>
        <color theme="1"/>
        <rFont val="Calibri"/>
        <family val="2"/>
        <scheme val="minor"/>
      </rPr>
      <t>. See Appendix D.</t>
    </r>
  </si>
  <si>
    <t>Exterior Circulation Allowance (included in New Space above)</t>
  </si>
  <si>
    <t>Effective use of existing facilities based on current utilization</t>
  </si>
  <si>
    <t>Calculated based on Project data</t>
  </si>
  <si>
    <t>If Lab utilization will be at least 15 but less than 17 and Class utilization was at least 21 but less than 23</t>
  </si>
  <si>
    <t>If Lab utilization was at least 12 but less than 15 and Class utilization was at least 19 but less than 21</t>
  </si>
  <si>
    <t>If either Lab utilization will be more than 17 or Class utilization will be more than 23</t>
  </si>
  <si>
    <t>If either Lab utilization will be less than 12 or Class utilization will be less than 19</t>
  </si>
  <si>
    <t>Max 17</t>
  </si>
  <si>
    <t>Calculated from My Project Renovation elements</t>
  </si>
  <si>
    <t>Calculated from My Project Replacement elements</t>
  </si>
  <si>
    <t xml:space="preserve">   Enrollment Projection</t>
  </si>
  <si>
    <t xml:space="preserve">   Net new classroom and laboratory workstations in project</t>
  </si>
  <si>
    <t xml:space="preserve">  The length of exterior walls that qualify for circulation space allowance</t>
  </si>
  <si>
    <r>
      <t xml:space="preserve">For projects with </t>
    </r>
    <r>
      <rPr>
        <b/>
        <sz val="11"/>
        <color theme="1"/>
        <rFont val="Calibri"/>
        <family val="2"/>
        <scheme val="minor"/>
      </rPr>
      <t>New Area</t>
    </r>
    <r>
      <rPr>
        <sz val="11"/>
        <color theme="1"/>
        <rFont val="Calibri"/>
        <family val="2"/>
        <scheme val="minor"/>
      </rPr>
      <t xml:space="preserve"> -</t>
    </r>
  </si>
  <si>
    <r>
      <t xml:space="preserve">For projects with </t>
    </r>
    <r>
      <rPr>
        <b/>
        <sz val="11"/>
        <color theme="1"/>
        <rFont val="Calibri"/>
        <family val="2"/>
        <scheme val="minor"/>
      </rPr>
      <t>Replacement</t>
    </r>
    <r>
      <rPr>
        <sz val="11"/>
        <color theme="1"/>
        <rFont val="Calibri"/>
        <family val="2"/>
        <scheme val="minor"/>
      </rPr>
      <t xml:space="preserve"> area -</t>
    </r>
  </si>
  <si>
    <r>
      <t xml:space="preserve">For projects with </t>
    </r>
    <r>
      <rPr>
        <b/>
        <sz val="11"/>
        <color theme="1"/>
        <rFont val="Calibri"/>
        <family val="2"/>
        <scheme val="minor"/>
      </rPr>
      <t>Renovation</t>
    </r>
    <r>
      <rPr>
        <sz val="11"/>
        <color theme="1"/>
        <rFont val="Calibri"/>
        <family val="2"/>
        <scheme val="minor"/>
      </rPr>
      <t xml:space="preserve"> area -</t>
    </r>
  </si>
  <si>
    <r>
      <t xml:space="preserve">Area weighted FCS for </t>
    </r>
    <r>
      <rPr>
        <b/>
        <sz val="11"/>
        <color theme="1"/>
        <rFont val="Calibri"/>
        <family val="2"/>
        <scheme val="minor"/>
      </rPr>
      <t>Renovation</t>
    </r>
    <r>
      <rPr>
        <sz val="11"/>
        <color theme="1"/>
        <rFont val="Calibri"/>
        <family val="2"/>
        <scheme val="minor"/>
      </rPr>
      <t xml:space="preserve"> portion of project.</t>
    </r>
  </si>
  <si>
    <r>
      <t xml:space="preserve">Scores calculated from the Project and Expected Costs are in the </t>
    </r>
    <r>
      <rPr>
        <b/>
        <sz val="11"/>
        <color rgb="FFFF0000"/>
        <rFont val="Calibri"/>
        <family val="2"/>
        <scheme val="minor"/>
      </rPr>
      <t>red</t>
    </r>
    <r>
      <rPr>
        <sz val="11"/>
        <color theme="1"/>
        <rFont val="Calibri"/>
        <family val="2"/>
        <scheme val="minor"/>
      </rPr>
      <t xml:space="preserve"> shaded cells.</t>
    </r>
  </si>
  <si>
    <r>
      <t xml:space="preserve">Expected score for each criteria can be entered in the </t>
    </r>
    <r>
      <rPr>
        <b/>
        <sz val="11"/>
        <color theme="6" tint="-0.249977111117893"/>
        <rFont val="Calibri"/>
        <family val="2"/>
        <scheme val="minor"/>
      </rPr>
      <t>green</t>
    </r>
    <r>
      <rPr>
        <sz val="11"/>
        <color theme="1"/>
        <rFont val="Calibri"/>
        <family val="2"/>
        <scheme val="minor"/>
      </rPr>
      <t xml:space="preserve"> shaded cells.</t>
    </r>
  </si>
  <si>
    <r>
      <t xml:space="preserve">Criteria applicable to the project are shaded </t>
    </r>
    <r>
      <rPr>
        <b/>
        <sz val="11"/>
        <color theme="6" tint="-0.249977111117893"/>
        <rFont val="Calibri"/>
        <family val="2"/>
        <scheme val="minor"/>
      </rPr>
      <t>green</t>
    </r>
    <r>
      <rPr>
        <sz val="11"/>
        <color theme="1"/>
        <rFont val="Calibri"/>
        <family val="2"/>
        <scheme val="minor"/>
      </rPr>
      <t xml:space="preserve"> or </t>
    </r>
    <r>
      <rPr>
        <b/>
        <sz val="11"/>
        <color rgb="FFFF0000"/>
        <rFont val="Calibri"/>
        <family val="2"/>
        <scheme val="minor"/>
      </rPr>
      <t>red</t>
    </r>
    <r>
      <rPr>
        <sz val="11"/>
        <color theme="1"/>
        <rFont val="Calibri"/>
        <family val="2"/>
        <scheme val="minor"/>
      </rPr>
      <t xml:space="preserve"> when the Category applies to My Project.</t>
    </r>
  </si>
  <si>
    <r>
      <t xml:space="preserve">Inputs are only needed in </t>
    </r>
    <r>
      <rPr>
        <b/>
        <sz val="18"/>
        <color theme="6" tint="-0.249977111117893"/>
        <rFont val="Calibri"/>
        <family val="2"/>
        <scheme val="minor"/>
      </rPr>
      <t>green</t>
    </r>
    <r>
      <rPr>
        <sz val="18"/>
        <color theme="1"/>
        <rFont val="Calibri"/>
        <family val="2"/>
        <scheme val="minor"/>
      </rPr>
      <t xml:space="preserve"> shaded cells based on My Project data.</t>
    </r>
  </si>
  <si>
    <t>S6</t>
  </si>
  <si>
    <t>To what extent does the proposed renovation address the college’s opportunity gaps?</t>
  </si>
  <si>
    <t>Closing opportunity gaps</t>
  </si>
  <si>
    <t>Max 5</t>
  </si>
  <si>
    <t>Max 2</t>
  </si>
  <si>
    <t>To what extent does the proposed new area address the college’s opportunity gaps?</t>
  </si>
  <si>
    <t>Fall 2018 Utilization</t>
  </si>
  <si>
    <t>For example: A project with both new or replacement area and renovation of existing space may need two estimates.</t>
  </si>
  <si>
    <t>Max 20</t>
  </si>
  <si>
    <t>Max 30</t>
  </si>
  <si>
    <t>Max 15</t>
  </si>
  <si>
    <t>Suitability for Financing</t>
  </si>
  <si>
    <t>Facility Type (use codes)</t>
  </si>
  <si>
    <t>Classroom (100s)</t>
  </si>
  <si>
    <t>Teaching Lab (200s except 250)</t>
  </si>
  <si>
    <t>Administration (300s)</t>
  </si>
  <si>
    <t>Library (400s)</t>
  </si>
  <si>
    <t>Day Care (640)</t>
  </si>
  <si>
    <t>Assembly (600s except 640)</t>
  </si>
  <si>
    <t>Support (700s)</t>
  </si>
  <si>
    <t>SBCTC 2023-25 Consolidated Scoring Sheet for Major Project Proposals</t>
  </si>
  <si>
    <t>Release: July 15, 2021</t>
  </si>
  <si>
    <t>https://ofm.wa.gov/sites/default/files/public//budget/forms/C100_2021.xlsx</t>
  </si>
  <si>
    <t>2019FCS</t>
  </si>
  <si>
    <t>NOTE: Total building cost, less budget for student engagement during predesign, is used for scoring relative to expected cost ranges.</t>
  </si>
  <si>
    <t>Student Engagement budget:</t>
  </si>
  <si>
    <t>from Summary tab of C-100</t>
  </si>
  <si>
    <t>Pre-schematic Escalation Factor:</t>
  </si>
  <si>
    <t>Base Amount from Pre-schematic Design Services portion of Consultant tab in C-100</t>
  </si>
  <si>
    <t>from Pre-schematic Design Services portion of Consultant tab in C-100</t>
  </si>
  <si>
    <t>Contingency Rate:</t>
  </si>
  <si>
    <t>from Summary tab in C-100</t>
  </si>
  <si>
    <t>Matching = 0</t>
  </si>
  <si>
    <t>Note: Matching Funds are not a factor in the 2023-25 criteria</t>
  </si>
  <si>
    <t>Fall 2019 Type 1 FTE</t>
  </si>
  <si>
    <t>Fall 2029 Type 1 FTE</t>
  </si>
  <si>
    <t>add escalated Student Engagement budget and associated contingency &gt;</t>
  </si>
  <si>
    <t>Childcare and FOiwILS &amp; Student Center</t>
  </si>
  <si>
    <t>Maintenance/Central Stores</t>
  </si>
  <si>
    <t>Base Pts</t>
  </si>
  <si>
    <t>DEI Pts</t>
  </si>
  <si>
    <t>DEI?</t>
  </si>
  <si>
    <t>S1 + S2 from Project Parameters</t>
  </si>
  <si>
    <r>
      <rPr>
        <b/>
        <sz val="11"/>
        <color theme="1"/>
        <rFont val="Calibri"/>
        <family val="2"/>
        <scheme val="minor"/>
      </rPr>
      <t>Fall 2019 Utilization</t>
    </r>
    <r>
      <rPr>
        <sz val="11"/>
        <color theme="1"/>
        <rFont val="Calibri"/>
        <family val="2"/>
        <scheme val="minor"/>
      </rPr>
      <t xml:space="preserve"> - used in Overarching Criteria for all projects. See Appendix C.</t>
    </r>
  </si>
  <si>
    <t>Parameters based on My Project inputs.</t>
  </si>
  <si>
    <t>The current version of the C-100 is available here -</t>
  </si>
  <si>
    <t>And, a project with a building and significant infrastructure will need at least two estimates.</t>
  </si>
  <si>
    <t>Length of qualifying exterior walls in feet</t>
  </si>
  <si>
    <t>Reasonableness of Cost</t>
  </si>
  <si>
    <t>Efficient use of space – future utilization</t>
  </si>
  <si>
    <t xml:space="preserve">The following data is based on the May 2021 Global Insight forecast for state and local government spending and is to be used for adjusting the expected costs from July 1, 2021, to the mid-construction date for comparison to project estimates. </t>
  </si>
  <si>
    <t>Expected Cost / GSF in 2021$</t>
  </si>
  <si>
    <t>Update: July 15, 2021 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</si>
</sst>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
    <numFmt numFmtId="167" formatCode="_(#0.00_)&quot;                                                                                                       &quot;"/>
    <numFmt numFmtId="168" formatCode="0.0000"/>
    <numFmt numFmtId="169" formatCode="0.000000000000000%"/>
    <numFmt numFmtId="170" formatCode="0.0%"/>
  </numFmts>
  <fonts count="1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i/>
      <sz val="11"/>
      <color theme="1"/>
      <name val="Calibri"/>
      <family val="2"/>
      <scheme val="minor"/>
    </font>
    <font>
      <sz val="10"/>
      <color theme="1"/>
      <name val="Calibri"/>
      <family val="2"/>
      <scheme val="minor"/>
    </font>
    <font>
      <b/>
      <sz val="10"/>
      <color rgb="FF000000"/>
      <name val="Calibri"/>
      <family val="2"/>
    </font>
    <font>
      <sz val="10"/>
      <color rgb="FF000000"/>
      <name val="Calibri"/>
      <family val="2"/>
    </font>
    <font>
      <b/>
      <sz val="11"/>
      <color rgb="FFFF0000"/>
      <name val="Calibri"/>
      <family val="2"/>
      <scheme val="minor"/>
    </font>
    <font>
      <sz val="9"/>
      <color indexed="81"/>
      <name val="Tahoma"/>
      <family val="2"/>
    </font>
    <font>
      <b/>
      <sz val="9"/>
      <color indexed="81"/>
      <name val="Tahoma"/>
      <family val="2"/>
    </font>
    <font>
      <u/>
      <sz val="11"/>
      <color theme="10"/>
      <name val="Calibri"/>
      <family val="2"/>
      <scheme val="minor"/>
    </font>
    <font>
      <b/>
      <sz val="11"/>
      <color theme="6" tint="-0.249977111117893"/>
      <name val="Calibri"/>
      <family val="2"/>
      <scheme val="minor"/>
    </font>
    <font>
      <sz val="18"/>
      <color theme="1"/>
      <name val="Calibri"/>
      <family val="2"/>
      <scheme val="minor"/>
    </font>
    <font>
      <b/>
      <sz val="18"/>
      <color theme="6" tint="-0.249977111117893"/>
      <name val="Calibri"/>
      <family val="2"/>
      <scheme val="minor"/>
    </font>
  </fonts>
  <fills count="3">
    <fill>
      <patternFill patternType="none"/>
    </fill>
    <fill>
      <patternFill patternType="gray125"/>
    </fill>
    <fill>
      <patternFill patternType="solid">
        <fgColor theme="6" tint="0.39997558519241921"/>
        <bgColor indexed="64"/>
      </patternFill>
    </fill>
  </fills>
  <borders count="28">
    <border>
      <left/>
      <right/>
      <top/>
      <bottom/>
      <diagonal/>
    </border>
    <border>
      <left/>
      <right/>
      <top/>
      <bottom style="thin">
        <color indexed="64"/>
      </bottom>
      <diagonal/>
    </border>
    <border>
      <left style="thin">
        <color auto="1"/>
      </left>
      <right style="thin">
        <color auto="1"/>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tint="-0.24994659260841701"/>
      </bottom>
      <diagonal/>
    </border>
    <border>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indexed="64"/>
      </bottom>
      <diagonal/>
    </border>
    <border>
      <left/>
      <right style="thin">
        <color indexed="64"/>
      </right>
      <top style="thin">
        <color indexed="64"/>
      </top>
      <bottom style="thin">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style="thin">
        <color indexed="64"/>
      </right>
      <top/>
      <bottom style="thin">
        <color indexed="64"/>
      </bottom>
      <diagonal/>
    </border>
    <border>
      <left/>
      <right/>
      <top style="thin">
        <color theme="0" tint="-0.24994659260841701"/>
      </top>
      <bottom/>
      <diagonal/>
    </border>
    <border>
      <left/>
      <right/>
      <top style="thin">
        <color theme="0" tint="-0.24994659260841701"/>
      </top>
      <bottom style="medium">
        <color indexed="64"/>
      </bottom>
      <diagonal/>
    </border>
    <border>
      <left style="thin">
        <color indexed="64"/>
      </left>
      <right style="thin">
        <color auto="1"/>
      </right>
      <top style="double">
        <color indexed="64"/>
      </top>
      <bottom style="thin">
        <color indexed="64"/>
      </bottom>
      <diagonal/>
    </border>
    <border>
      <left/>
      <right style="thin">
        <color auto="1"/>
      </right>
      <top style="double">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282">
    <xf numFmtId="0" fontId="0" fillId="0" borderId="0" xfId="0"/>
    <xf numFmtId="0" fontId="3" fillId="0" borderId="0" xfId="0" applyFont="1" applyAlignment="1">
      <alignment vertical="top"/>
    </xf>
    <xf numFmtId="0" fontId="0" fillId="0" borderId="0" xfId="0" applyAlignment="1">
      <alignment vertical="top"/>
    </xf>
    <xf numFmtId="2" fontId="3" fillId="0" borderId="0" xfId="0" applyNumberFormat="1" applyFont="1" applyAlignment="1">
      <alignment horizontal="center" vertical="top"/>
    </xf>
    <xf numFmtId="2" fontId="3" fillId="0" borderId="0" xfId="0" applyNumberFormat="1" applyFont="1" applyAlignment="1">
      <alignment vertical="top"/>
    </xf>
    <xf numFmtId="0" fontId="3" fillId="0" borderId="0" xfId="0" applyFont="1" applyAlignment="1">
      <alignment horizontal="center"/>
    </xf>
    <xf numFmtId="0" fontId="0" fillId="0" borderId="0" xfId="0" applyFill="1" applyAlignment="1">
      <alignment vertical="top"/>
    </xf>
    <xf numFmtId="0" fontId="0" fillId="0" borderId="0" xfId="0" applyFill="1" applyAlignment="1">
      <alignment vertical="top" wrapText="1"/>
    </xf>
    <xf numFmtId="0" fontId="0" fillId="0" borderId="0" xfId="0" applyFill="1" applyAlignment="1">
      <alignment horizontal="center" vertical="top"/>
    </xf>
    <xf numFmtId="0" fontId="0" fillId="0" borderId="0" xfId="0" applyBorder="1" applyAlignment="1">
      <alignment horizontal="center" wrapText="1"/>
    </xf>
    <xf numFmtId="0" fontId="0" fillId="0" borderId="0" xfId="0" applyBorder="1"/>
    <xf numFmtId="2" fontId="0" fillId="0" borderId="0" xfId="0" applyNumberFormat="1" applyBorder="1" applyAlignment="1">
      <alignment horizontal="center"/>
    </xf>
    <xf numFmtId="0" fontId="0" fillId="0" borderId="0" xfId="0" applyAlignment="1">
      <alignment horizontal="center"/>
    </xf>
    <xf numFmtId="0" fontId="0" fillId="0" borderId="0" xfId="0" applyBorder="1" applyAlignment="1">
      <alignment horizontal="center"/>
    </xf>
    <xf numFmtId="1" fontId="0" fillId="0" borderId="0" xfId="3" applyNumberFormat="1" applyFont="1" applyBorder="1" applyAlignment="1">
      <alignment horizontal="center"/>
    </xf>
    <xf numFmtId="9" fontId="0" fillId="0" borderId="0" xfId="3" applyFont="1" applyBorder="1" applyAlignment="1">
      <alignment horizontal="center"/>
    </xf>
    <xf numFmtId="1" fontId="0" fillId="0" borderId="0" xfId="0" applyNumberFormat="1" applyBorder="1" applyAlignment="1">
      <alignment horizontal="center"/>
    </xf>
    <xf numFmtId="0" fontId="0" fillId="0" borderId="0" xfId="0" applyAlignment="1">
      <alignment horizontal="right"/>
    </xf>
    <xf numFmtId="164" fontId="0" fillId="0" borderId="0" xfId="1" applyNumberFormat="1" applyFont="1"/>
    <xf numFmtId="9" fontId="0" fillId="0" borderId="0" xfId="3" applyFont="1"/>
    <xf numFmtId="164" fontId="0" fillId="0" borderId="0" xfId="1" applyNumberFormat="1" applyFont="1" applyBorder="1"/>
    <xf numFmtId="164" fontId="0" fillId="0" borderId="0" xfId="0" applyNumberFormat="1"/>
    <xf numFmtId="0" fontId="3" fillId="0" borderId="0" xfId="0" applyFont="1"/>
    <xf numFmtId="0" fontId="3" fillId="0" borderId="0" xfId="0" applyFont="1" applyFill="1" applyAlignment="1">
      <alignment vertical="top"/>
    </xf>
    <xf numFmtId="0" fontId="3" fillId="0" borderId="0" xfId="0" applyFont="1" applyFill="1" applyAlignment="1">
      <alignment vertical="top" wrapText="1"/>
    </xf>
    <xf numFmtId="0" fontId="3" fillId="0" borderId="0" xfId="0" applyFont="1" applyFill="1" applyAlignment="1">
      <alignment horizontal="center" vertical="top" wrapText="1"/>
    </xf>
    <xf numFmtId="0" fontId="3" fillId="0" borderId="0" xfId="0" applyFont="1" applyFill="1" applyAlignment="1">
      <alignment horizontal="center" vertical="top"/>
    </xf>
    <xf numFmtId="0" fontId="0" fillId="0" borderId="0" xfId="0" applyFill="1" applyAlignment="1">
      <alignment horizontal="center" vertical="top" wrapText="1"/>
    </xf>
    <xf numFmtId="0" fontId="0" fillId="0" borderId="0" xfId="0" applyFont="1" applyFill="1" applyAlignment="1">
      <alignment horizontal="right" vertical="top"/>
    </xf>
    <xf numFmtId="1" fontId="0" fillId="0" borderId="0" xfId="0" applyNumberFormat="1" applyFont="1" applyFill="1" applyAlignment="1">
      <alignment horizontal="center" vertical="top"/>
    </xf>
    <xf numFmtId="2" fontId="0" fillId="0" borderId="0" xfId="0" applyNumberFormat="1" applyFill="1" applyAlignment="1">
      <alignment horizontal="center" vertical="top"/>
    </xf>
    <xf numFmtId="0" fontId="3" fillId="0" borderId="0" xfId="0" applyFont="1" applyFill="1" applyAlignment="1">
      <alignment horizontal="right" vertical="top"/>
    </xf>
    <xf numFmtId="2" fontId="3" fillId="0" borderId="0" xfId="0" applyNumberFormat="1" applyFont="1" applyFill="1" applyAlignment="1">
      <alignment horizontal="center" vertical="top"/>
    </xf>
    <xf numFmtId="2" fontId="0" fillId="0" borderId="0" xfId="0" applyNumberFormat="1" applyFont="1" applyFill="1" applyAlignment="1">
      <alignment horizontal="center" vertical="top"/>
    </xf>
    <xf numFmtId="2" fontId="0" fillId="0" borderId="1" xfId="0" applyNumberFormat="1" applyFill="1" applyBorder="1" applyAlignment="1">
      <alignment horizontal="center" vertical="top"/>
    </xf>
    <xf numFmtId="0" fontId="0" fillId="0" borderId="9" xfId="0" applyFill="1" applyBorder="1" applyAlignment="1">
      <alignment vertical="top"/>
    </xf>
    <xf numFmtId="0" fontId="0" fillId="0" borderId="9" xfId="0" applyFill="1" applyBorder="1" applyAlignment="1">
      <alignment vertical="top" wrapText="1"/>
    </xf>
    <xf numFmtId="0" fontId="0" fillId="0" borderId="9" xfId="0" applyFill="1" applyBorder="1" applyAlignment="1">
      <alignment horizontal="center" vertical="top" wrapText="1"/>
    </xf>
    <xf numFmtId="0" fontId="0" fillId="0" borderId="9" xfId="0" applyFill="1" applyBorder="1" applyAlignment="1">
      <alignment horizontal="center" vertical="top"/>
    </xf>
    <xf numFmtId="0" fontId="0" fillId="0" borderId="13" xfId="0" applyFill="1" applyBorder="1" applyAlignment="1">
      <alignment vertical="top"/>
    </xf>
    <xf numFmtId="0" fontId="0" fillId="0" borderId="13" xfId="0" applyFill="1" applyBorder="1" applyAlignment="1">
      <alignment vertical="top" wrapText="1"/>
    </xf>
    <xf numFmtId="0" fontId="0" fillId="0" borderId="13" xfId="0" applyFill="1" applyBorder="1" applyAlignment="1">
      <alignment horizontal="center" vertical="top" wrapText="1"/>
    </xf>
    <xf numFmtId="0" fontId="0" fillId="0" borderId="13" xfId="0" applyFill="1" applyBorder="1" applyAlignment="1">
      <alignment horizontal="center" vertical="top"/>
    </xf>
    <xf numFmtId="164" fontId="0" fillId="0" borderId="9" xfId="1" applyNumberFormat="1" applyFont="1" applyFill="1" applyBorder="1" applyAlignment="1">
      <alignment horizontal="center" vertical="top" wrapText="1"/>
    </xf>
    <xf numFmtId="9" fontId="0" fillId="0" borderId="9" xfId="3" applyFont="1" applyFill="1" applyBorder="1" applyAlignment="1">
      <alignment horizontal="center" vertical="top" wrapText="1"/>
    </xf>
    <xf numFmtId="0" fontId="0" fillId="0" borderId="3" xfId="0" applyFont="1" applyBorder="1"/>
    <xf numFmtId="0" fontId="0" fillId="0" borderId="0" xfId="0" applyFont="1" applyFill="1" applyBorder="1" applyAlignment="1">
      <alignment vertical="top"/>
    </xf>
    <xf numFmtId="0" fontId="3" fillId="0" borderId="0" xfId="0" applyFont="1" applyFill="1" applyBorder="1" applyAlignment="1">
      <alignment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top"/>
    </xf>
    <xf numFmtId="0" fontId="0" fillId="0" borderId="0" xfId="0" applyFill="1" applyBorder="1" applyAlignment="1">
      <alignment vertical="top"/>
    </xf>
    <xf numFmtId="0" fontId="0" fillId="0" borderId="0" xfId="0" applyFont="1" applyBorder="1" applyAlignment="1">
      <alignment vertical="top"/>
    </xf>
    <xf numFmtId="0" fontId="0" fillId="0" borderId="0" xfId="0" applyFont="1" applyBorder="1" applyAlignment="1">
      <alignment horizontal="right" vertical="top"/>
    </xf>
    <xf numFmtId="1" fontId="0" fillId="0" borderId="0" xfId="0" applyNumberFormat="1" applyFont="1" applyBorder="1" applyAlignment="1">
      <alignment horizontal="center" vertical="top"/>
    </xf>
    <xf numFmtId="0" fontId="3" fillId="0" borderId="0" xfId="0" applyFont="1" applyFill="1" applyBorder="1" applyAlignment="1">
      <alignment vertical="top"/>
    </xf>
    <xf numFmtId="0" fontId="0" fillId="0" borderId="0" xfId="0" applyBorder="1" applyAlignment="1">
      <alignment vertical="top"/>
    </xf>
    <xf numFmtId="2" fontId="0" fillId="0" borderId="0" xfId="0" applyNumberFormat="1" applyBorder="1" applyAlignment="1">
      <alignment horizontal="center" vertical="top"/>
    </xf>
    <xf numFmtId="0" fontId="3" fillId="0" borderId="0" xfId="0" applyFont="1" applyBorder="1" applyAlignment="1">
      <alignment horizontal="right" vertical="top"/>
    </xf>
    <xf numFmtId="2" fontId="3" fillId="0" borderId="0" xfId="0" applyNumberFormat="1" applyFont="1" applyBorder="1" applyAlignment="1">
      <alignment horizontal="center" vertical="top"/>
    </xf>
    <xf numFmtId="0" fontId="3" fillId="0" borderId="0" xfId="0" applyFont="1" applyBorder="1" applyAlignment="1">
      <alignment vertical="top"/>
    </xf>
    <xf numFmtId="0" fontId="0" fillId="0" borderId="9" xfId="0" applyBorder="1" applyAlignment="1">
      <alignment horizontal="center"/>
    </xf>
    <xf numFmtId="0" fontId="0" fillId="0" borderId="9" xfId="0" applyBorder="1"/>
    <xf numFmtId="0" fontId="0" fillId="0" borderId="9" xfId="0" applyFont="1" applyBorder="1" applyAlignment="1">
      <alignment vertical="top"/>
    </xf>
    <xf numFmtId="0" fontId="0" fillId="0" borderId="9" xfId="0" applyBorder="1" applyAlignment="1">
      <alignment vertical="top"/>
    </xf>
    <xf numFmtId="0" fontId="0" fillId="0" borderId="13" xfId="0" applyBorder="1" applyAlignment="1">
      <alignment vertical="top"/>
    </xf>
    <xf numFmtId="0" fontId="0" fillId="0" borderId="13" xfId="0" applyBorder="1"/>
    <xf numFmtId="0" fontId="0" fillId="0" borderId="13" xfId="0" applyBorder="1" applyAlignment="1">
      <alignment horizontal="center"/>
    </xf>
    <xf numFmtId="0" fontId="0" fillId="0" borderId="13" xfId="0" applyFont="1" applyBorder="1" applyAlignment="1">
      <alignment vertical="top"/>
    </xf>
    <xf numFmtId="0" fontId="2" fillId="0" borderId="0" xfId="0" applyFont="1" applyAlignment="1">
      <alignment wrapText="1"/>
    </xf>
    <xf numFmtId="0" fontId="0" fillId="0" borderId="15" xfId="0" applyBorder="1" applyAlignment="1">
      <alignment horizontal="center"/>
    </xf>
    <xf numFmtId="0" fontId="0" fillId="0" borderId="15" xfId="0" applyBorder="1"/>
    <xf numFmtId="0" fontId="0" fillId="0" borderId="6" xfId="0" applyFont="1" applyFill="1" applyBorder="1" applyAlignment="1">
      <alignment vertical="top"/>
    </xf>
    <xf numFmtId="0" fontId="0" fillId="0" borderId="7" xfId="0" applyFont="1" applyBorder="1"/>
    <xf numFmtId="0" fontId="0" fillId="0" borderId="7" xfId="0" applyBorder="1" applyAlignment="1">
      <alignment horizontal="center"/>
    </xf>
    <xf numFmtId="0" fontId="0" fillId="0" borderId="7" xfId="0" applyBorder="1"/>
    <xf numFmtId="0" fontId="3" fillId="0" borderId="16" xfId="0" applyFont="1" applyFill="1" applyBorder="1" applyAlignment="1">
      <alignment horizontal="center" vertical="top"/>
    </xf>
    <xf numFmtId="0" fontId="0" fillId="0" borderId="8" xfId="0" applyFont="1" applyFill="1" applyBorder="1" applyAlignment="1">
      <alignment vertical="top"/>
    </xf>
    <xf numFmtId="0" fontId="0" fillId="0" borderId="11" xfId="0" applyBorder="1" applyAlignment="1">
      <alignment horizontal="center" vertical="top"/>
    </xf>
    <xf numFmtId="0" fontId="0" fillId="0" borderId="12" xfId="0" applyFont="1" applyFill="1" applyBorder="1" applyAlignment="1">
      <alignment vertical="top"/>
    </xf>
    <xf numFmtId="0" fontId="0" fillId="0" borderId="17" xfId="0" applyBorder="1" applyAlignment="1">
      <alignment horizontal="center" vertical="top"/>
    </xf>
    <xf numFmtId="0" fontId="0" fillId="0" borderId="15" xfId="0" applyFill="1" applyBorder="1" applyAlignment="1">
      <alignment vertical="top"/>
    </xf>
    <xf numFmtId="0" fontId="0" fillId="0" borderId="15" xfId="0" applyFill="1" applyBorder="1" applyAlignment="1">
      <alignment vertical="top" wrapText="1"/>
    </xf>
    <xf numFmtId="0" fontId="0" fillId="0" borderId="15" xfId="0" applyFill="1" applyBorder="1" applyAlignment="1">
      <alignment horizontal="center" vertical="top" wrapText="1"/>
    </xf>
    <xf numFmtId="0" fontId="0" fillId="0" borderId="15" xfId="0" applyFill="1" applyBorder="1" applyAlignment="1">
      <alignment horizontal="center" vertical="top"/>
    </xf>
    <xf numFmtId="0" fontId="0" fillId="0" borderId="6" xfId="0" applyFill="1" applyBorder="1" applyAlignment="1">
      <alignment vertical="top"/>
    </xf>
    <xf numFmtId="0" fontId="0" fillId="0" borderId="7" xfId="0" applyFill="1" applyBorder="1" applyAlignment="1">
      <alignment vertical="top"/>
    </xf>
    <xf numFmtId="0" fontId="0" fillId="0" borderId="7" xfId="0" applyFill="1" applyBorder="1" applyAlignment="1">
      <alignment horizontal="center" vertical="top" wrapText="1"/>
    </xf>
    <xf numFmtId="0" fontId="0" fillId="0" borderId="7" xfId="0" applyFill="1" applyBorder="1" applyAlignment="1">
      <alignment horizontal="center" vertical="top"/>
    </xf>
    <xf numFmtId="0" fontId="0" fillId="0" borderId="16" xfId="0" applyFill="1" applyBorder="1" applyAlignment="1">
      <alignment horizontal="center" vertical="top"/>
    </xf>
    <xf numFmtId="0" fontId="0" fillId="0" borderId="8" xfId="0" applyFill="1" applyBorder="1" applyAlignment="1">
      <alignment vertical="top"/>
    </xf>
    <xf numFmtId="0" fontId="0" fillId="0" borderId="11" xfId="0" applyFill="1" applyBorder="1" applyAlignment="1">
      <alignment horizontal="center" vertical="top"/>
    </xf>
    <xf numFmtId="0" fontId="0" fillId="0" borderId="12" xfId="0" applyFill="1" applyBorder="1" applyAlignment="1">
      <alignment vertical="top"/>
    </xf>
    <xf numFmtId="0" fontId="0" fillId="0" borderId="17" xfId="0" applyFill="1" applyBorder="1" applyAlignment="1">
      <alignment horizontal="center" vertical="top"/>
    </xf>
    <xf numFmtId="0" fontId="0" fillId="0" borderId="4" xfId="0" applyFill="1" applyBorder="1" applyAlignment="1">
      <alignment vertical="top"/>
    </xf>
    <xf numFmtId="0" fontId="0" fillId="0" borderId="5" xfId="0" applyFill="1" applyBorder="1" applyAlignment="1">
      <alignment vertical="top"/>
    </xf>
    <xf numFmtId="0" fontId="0" fillId="0" borderId="5" xfId="0" applyFill="1" applyBorder="1" applyAlignment="1">
      <alignment vertical="top" wrapText="1"/>
    </xf>
    <xf numFmtId="0" fontId="0" fillId="0" borderId="5" xfId="0" applyFill="1" applyBorder="1" applyAlignment="1">
      <alignment horizontal="center" vertical="top" wrapText="1"/>
    </xf>
    <xf numFmtId="0" fontId="0" fillId="0" borderId="5" xfId="0" applyFill="1" applyBorder="1" applyAlignment="1">
      <alignment horizontal="center" vertical="top"/>
    </xf>
    <xf numFmtId="0" fontId="0" fillId="0" borderId="18" xfId="0" applyFill="1" applyBorder="1" applyAlignment="1">
      <alignment horizontal="center" vertical="top"/>
    </xf>
    <xf numFmtId="0" fontId="4" fillId="0" borderId="13" xfId="0" applyFont="1" applyFill="1" applyBorder="1" applyAlignment="1">
      <alignment vertical="top" wrapText="1"/>
    </xf>
    <xf numFmtId="0" fontId="4" fillId="0" borderId="13" xfId="0" applyFont="1" applyFill="1" applyBorder="1" applyAlignment="1">
      <alignment horizontal="center" vertical="top" wrapText="1"/>
    </xf>
    <xf numFmtId="0" fontId="3" fillId="0" borderId="7" xfId="0" applyFont="1" applyFill="1" applyBorder="1" applyAlignment="1">
      <alignment horizontal="center" wrapText="1"/>
    </xf>
    <xf numFmtId="0" fontId="3" fillId="0" borderId="7" xfId="0" applyFont="1" applyFill="1" applyBorder="1" applyAlignment="1">
      <alignment horizontal="center"/>
    </xf>
    <xf numFmtId="164" fontId="0" fillId="0" borderId="13" xfId="1" applyNumberFormat="1" applyFont="1" applyFill="1" applyBorder="1" applyAlignment="1">
      <alignment horizontal="center" vertical="top" wrapText="1"/>
    </xf>
    <xf numFmtId="9" fontId="0" fillId="0" borderId="13" xfId="3" applyFont="1" applyFill="1" applyBorder="1" applyAlignment="1">
      <alignment horizontal="center" vertical="top" wrapText="1"/>
    </xf>
    <xf numFmtId="164" fontId="0" fillId="0" borderId="15" xfId="1" applyNumberFormat="1" applyFont="1" applyFill="1" applyBorder="1" applyAlignment="1">
      <alignment horizontal="center" vertical="top" wrapText="1"/>
    </xf>
    <xf numFmtId="9" fontId="0" fillId="0" borderId="15" xfId="3" applyFont="1" applyFill="1" applyBorder="1" applyAlignment="1">
      <alignment horizontal="center" vertical="top" wrapText="1"/>
    </xf>
    <xf numFmtId="164" fontId="0" fillId="0" borderId="7" xfId="1" applyNumberFormat="1" applyFont="1" applyFill="1" applyBorder="1" applyAlignment="1">
      <alignment horizontal="center" vertical="top" wrapText="1"/>
    </xf>
    <xf numFmtId="164" fontId="0" fillId="2" borderId="9" xfId="1" applyNumberFormat="1" applyFont="1" applyFill="1" applyBorder="1"/>
    <xf numFmtId="9" fontId="0" fillId="0" borderId="9" xfId="3" applyFont="1" applyBorder="1"/>
    <xf numFmtId="164" fontId="0" fillId="2" borderId="13" xfId="1" applyNumberFormat="1" applyFont="1" applyFill="1" applyBorder="1"/>
    <xf numFmtId="9" fontId="0" fillId="0" borderId="13" xfId="3" applyFont="1" applyBorder="1"/>
    <xf numFmtId="164" fontId="0" fillId="0" borderId="9" xfId="1" applyNumberFormat="1" applyFont="1" applyBorder="1"/>
    <xf numFmtId="164" fontId="0" fillId="0" borderId="13" xfId="1" applyNumberFormat="1" applyFont="1" applyBorder="1"/>
    <xf numFmtId="0" fontId="5" fillId="0" borderId="7" xfId="0" applyFont="1" applyBorder="1" applyAlignment="1">
      <alignment horizontal="center"/>
    </xf>
    <xf numFmtId="0" fontId="0" fillId="0" borderId="19" xfId="0" applyFill="1" applyBorder="1" applyAlignment="1">
      <alignment vertical="top"/>
    </xf>
    <xf numFmtId="0" fontId="0" fillId="0" borderId="20" xfId="0" applyFill="1" applyBorder="1" applyAlignment="1">
      <alignment horizontal="center" vertical="top"/>
    </xf>
    <xf numFmtId="0" fontId="5" fillId="0" borderId="7" xfId="0" applyFont="1" applyFill="1" applyBorder="1" applyAlignment="1">
      <alignment horizontal="center" vertical="top" wrapText="1"/>
    </xf>
    <xf numFmtId="0" fontId="2" fillId="0" borderId="0" xfId="0" applyFont="1" applyAlignment="1"/>
    <xf numFmtId="0" fontId="0" fillId="0" borderId="0" xfId="0" applyFont="1" applyAlignment="1"/>
    <xf numFmtId="0" fontId="0" fillId="0" borderId="0" xfId="0" applyFont="1"/>
    <xf numFmtId="0" fontId="0" fillId="0" borderId="0" xfId="0" applyFont="1" applyAlignment="1">
      <alignment horizontal="left" wrapText="1"/>
    </xf>
    <xf numFmtId="0" fontId="3" fillId="0" borderId="14" xfId="0" applyFont="1" applyBorder="1" applyAlignment="1"/>
    <xf numFmtId="0" fontId="3" fillId="0" borderId="14" xfId="0" applyFont="1" applyBorder="1" applyAlignment="1">
      <alignment horizontal="center" wrapText="1"/>
    </xf>
    <xf numFmtId="0" fontId="3" fillId="0" borderId="2" xfId="0" applyFont="1" applyBorder="1" applyAlignment="1">
      <alignment horizontal="center" wrapText="1"/>
    </xf>
    <xf numFmtId="0" fontId="6" fillId="0" borderId="14" xfId="0" applyFont="1" applyBorder="1" applyAlignment="1">
      <alignment vertical="center"/>
    </xf>
    <xf numFmtId="6" fontId="6" fillId="0" borderId="14" xfId="0" applyNumberFormat="1" applyFont="1" applyBorder="1" applyAlignment="1">
      <alignment horizontal="center" vertical="center" wrapText="1"/>
    </xf>
    <xf numFmtId="6" fontId="0" fillId="0" borderId="14" xfId="0" applyNumberFormat="1" applyFont="1" applyBorder="1" applyAlignment="1">
      <alignment horizontal="center"/>
    </xf>
    <xf numFmtId="165" fontId="0" fillId="0" borderId="4" xfId="2" applyNumberFormat="1" applyFont="1" applyBorder="1"/>
    <xf numFmtId="0" fontId="0" fillId="0" borderId="2" xfId="0" applyFont="1" applyBorder="1"/>
    <xf numFmtId="165" fontId="0" fillId="0" borderId="22" xfId="2" applyNumberFormat="1" applyFont="1" applyBorder="1"/>
    <xf numFmtId="0" fontId="0" fillId="0" borderId="23" xfId="0" applyFont="1" applyBorder="1"/>
    <xf numFmtId="164" fontId="3" fillId="0" borderId="23" xfId="1" applyNumberFormat="1" applyFont="1" applyBorder="1"/>
    <xf numFmtId="165" fontId="3" fillId="0" borderId="23" xfId="2" applyNumberFormat="1" applyFont="1" applyBorder="1"/>
    <xf numFmtId="165" fontId="3" fillId="0" borderId="14" xfId="0" applyNumberFormat="1" applyFont="1" applyBorder="1"/>
    <xf numFmtId="14" fontId="0" fillId="2" borderId="0" xfId="0" applyNumberFormat="1" applyFont="1" applyFill="1"/>
    <xf numFmtId="164" fontId="0" fillId="2" borderId="14" xfId="0" applyNumberFormat="1" applyFont="1" applyFill="1" applyBorder="1"/>
    <xf numFmtId="164" fontId="0" fillId="2" borderId="21" xfId="0" applyNumberFormat="1" applyFont="1" applyFill="1" applyBorder="1"/>
    <xf numFmtId="0" fontId="7" fillId="0" borderId="10" xfId="0" applyFont="1" applyBorder="1" applyAlignment="1">
      <alignment horizontal="center" vertical="center" wrapText="1"/>
    </xf>
    <xf numFmtId="14" fontId="8" fillId="0" borderId="10" xfId="0" applyNumberFormat="1" applyFont="1" applyBorder="1" applyAlignment="1">
      <alignment horizontal="center" vertical="center" wrapText="1"/>
    </xf>
    <xf numFmtId="166" fontId="8" fillId="0" borderId="10" xfId="0" applyNumberFormat="1" applyFont="1" applyBorder="1" applyAlignment="1">
      <alignment horizontal="center" vertical="center" wrapText="1"/>
    </xf>
    <xf numFmtId="0" fontId="3" fillId="0" borderId="0" xfId="0" applyFont="1" applyAlignment="1"/>
    <xf numFmtId="9" fontId="3" fillId="0" borderId="23" xfId="0" applyNumberFormat="1" applyFont="1" applyBorder="1" applyAlignment="1">
      <alignment horizontal="center"/>
    </xf>
    <xf numFmtId="9" fontId="3" fillId="0" borderId="14" xfId="0" applyNumberFormat="1" applyFont="1" applyBorder="1" applyAlignment="1">
      <alignment horizontal="center"/>
    </xf>
    <xf numFmtId="165" fontId="3" fillId="0" borderId="23" xfId="2" applyNumberFormat="1" applyFont="1" applyBorder="1" applyAlignment="1">
      <alignment horizontal="center"/>
    </xf>
    <xf numFmtId="165" fontId="3" fillId="0" borderId="14" xfId="2" applyNumberFormat="1" applyFont="1" applyBorder="1" applyAlignment="1">
      <alignment horizontal="center"/>
    </xf>
    <xf numFmtId="0" fontId="3" fillId="0" borderId="0" xfId="0" applyFont="1" applyAlignment="1">
      <alignment horizontal="left"/>
    </xf>
    <xf numFmtId="164" fontId="0" fillId="0" borderId="15" xfId="1" applyNumberFormat="1" applyFont="1" applyBorder="1"/>
    <xf numFmtId="9" fontId="0" fillId="0" borderId="15" xfId="3" applyFont="1" applyBorder="1"/>
    <xf numFmtId="164" fontId="0" fillId="0" borderId="9" xfId="1" applyNumberFormat="1" applyFont="1" applyBorder="1" applyAlignment="1">
      <alignment horizontal="center"/>
    </xf>
    <xf numFmtId="49" fontId="0" fillId="0" borderId="9" xfId="1" applyNumberFormat="1" applyFont="1" applyBorder="1" applyAlignment="1">
      <alignment horizontal="center"/>
    </xf>
    <xf numFmtId="49" fontId="0" fillId="0" borderId="15" xfId="0" applyNumberFormat="1" applyBorder="1" applyAlignment="1">
      <alignment horizontal="center"/>
    </xf>
    <xf numFmtId="49" fontId="0" fillId="0" borderId="13" xfId="1" applyNumberFormat="1" applyFont="1" applyBorder="1" applyAlignment="1">
      <alignment horizontal="center"/>
    </xf>
    <xf numFmtId="164" fontId="0" fillId="0" borderId="15" xfId="0" applyNumberFormat="1" applyBorder="1"/>
    <xf numFmtId="164" fontId="3" fillId="0" borderId="0" xfId="1" applyNumberFormat="1" applyFont="1"/>
    <xf numFmtId="0" fontId="0" fillId="0" borderId="9" xfId="0" applyBorder="1" applyAlignment="1">
      <alignment horizontal="center" wrapText="1"/>
    </xf>
    <xf numFmtId="2" fontId="0" fillId="0" borderId="9" xfId="1" applyNumberFormat="1" applyFont="1" applyBorder="1" applyAlignment="1">
      <alignment horizontal="center"/>
    </xf>
    <xf numFmtId="2" fontId="0" fillId="0" borderId="13" xfId="1" applyNumberFormat="1" applyFont="1" applyBorder="1" applyAlignment="1">
      <alignment horizontal="center"/>
    </xf>
    <xf numFmtId="0" fontId="0" fillId="0" borderId="0" xfId="0" applyFill="1"/>
    <xf numFmtId="0" fontId="0" fillId="0" borderId="0" xfId="0" applyFill="1" applyBorder="1"/>
    <xf numFmtId="0" fontId="0" fillId="0" borderId="0" xfId="0" applyNumberFormat="1" applyFont="1" applyBorder="1" applyAlignment="1"/>
    <xf numFmtId="0" fontId="0" fillId="0" borderId="0" xfId="0" applyNumberFormat="1" applyFont="1" applyFill="1" applyBorder="1" applyAlignment="1"/>
    <xf numFmtId="164" fontId="9" fillId="0" borderId="14" xfId="0" applyNumberFormat="1" applyFont="1" applyBorder="1"/>
    <xf numFmtId="0" fontId="0" fillId="0" borderId="0" xfId="1" applyNumberFormat="1" applyFont="1" applyBorder="1" applyAlignment="1"/>
    <xf numFmtId="164" fontId="2" fillId="0" borderId="0" xfId="1" applyNumberFormat="1" applyFont="1"/>
    <xf numFmtId="15" fontId="0" fillId="0" borderId="0" xfId="0" quotePrefix="1" applyNumberFormat="1" applyFont="1"/>
    <xf numFmtId="9" fontId="4" fillId="0" borderId="0" xfId="3" applyFont="1"/>
    <xf numFmtId="0" fontId="4" fillId="0" borderId="0" xfId="0" applyFont="1"/>
    <xf numFmtId="2" fontId="0" fillId="0" borderId="20" xfId="0" applyNumberFormat="1" applyFill="1" applyBorder="1" applyAlignment="1">
      <alignment horizontal="center" vertical="top"/>
    </xf>
    <xf numFmtId="2" fontId="0" fillId="0" borderId="11" xfId="0" applyNumberFormat="1" applyFill="1" applyBorder="1" applyAlignment="1">
      <alignment horizontal="center" vertical="top"/>
    </xf>
    <xf numFmtId="2" fontId="0" fillId="0" borderId="17" xfId="0" applyNumberFormat="1" applyFill="1" applyBorder="1" applyAlignment="1">
      <alignment horizontal="center" vertical="top"/>
    </xf>
    <xf numFmtId="0" fontId="0" fillId="0" borderId="1" xfId="0" applyBorder="1" applyAlignment="1">
      <alignment vertical="top"/>
    </xf>
    <xf numFmtId="164" fontId="0" fillId="0" borderId="0" xfId="1" applyNumberFormat="1" applyFont="1" applyAlignment="1">
      <alignment vertical="top"/>
    </xf>
    <xf numFmtId="0" fontId="0" fillId="0" borderId="0" xfId="0" applyAlignment="1">
      <alignment horizontal="right" vertical="top"/>
    </xf>
    <xf numFmtId="164" fontId="0" fillId="0" borderId="0" xfId="1" applyNumberFormat="1" applyFont="1" applyBorder="1" applyAlignment="1">
      <alignment vertical="top"/>
    </xf>
    <xf numFmtId="2" fontId="0" fillId="0" borderId="0" xfId="0" applyNumberFormat="1" applyAlignment="1">
      <alignment vertical="top"/>
    </xf>
    <xf numFmtId="164" fontId="0" fillId="0" borderId="0" xfId="1" applyNumberFormat="1" applyFont="1" applyFill="1" applyAlignment="1">
      <alignment vertical="top"/>
    </xf>
    <xf numFmtId="164" fontId="0" fillId="0" borderId="1" xfId="1" applyNumberFormat="1" applyFont="1" applyFill="1" applyBorder="1" applyAlignment="1">
      <alignment vertical="top"/>
    </xf>
    <xf numFmtId="9" fontId="0" fillId="0" borderId="0" xfId="3" applyFont="1" applyAlignment="1">
      <alignment vertical="top"/>
    </xf>
    <xf numFmtId="0" fontId="0" fillId="0" borderId="0" xfId="0" applyAlignment="1"/>
    <xf numFmtId="9" fontId="0" fillId="0" borderId="0" xfId="3" applyFont="1" applyAlignment="1"/>
    <xf numFmtId="1" fontId="0" fillId="0" borderId="0" xfId="0" applyNumberFormat="1"/>
    <xf numFmtId="1" fontId="0" fillId="0" borderId="0" xfId="3" applyNumberFormat="1" applyFont="1" applyAlignment="1">
      <alignment horizontal="center"/>
    </xf>
    <xf numFmtId="0" fontId="12" fillId="0" borderId="0" xfId="4"/>
    <xf numFmtId="1" fontId="0" fillId="0" borderId="1" xfId="3" applyNumberFormat="1" applyFont="1" applyBorder="1" applyAlignment="1">
      <alignment horizontal="center"/>
    </xf>
    <xf numFmtId="0" fontId="0" fillId="0" borderId="1" xfId="0" applyBorder="1"/>
    <xf numFmtId="164" fontId="0" fillId="0" borderId="0" xfId="0" applyNumberFormat="1" applyAlignment="1">
      <alignment vertical="top"/>
    </xf>
    <xf numFmtId="164" fontId="0" fillId="2" borderId="0" xfId="1" applyNumberFormat="1" applyFont="1" applyFill="1" applyAlignment="1">
      <alignment vertical="top"/>
    </xf>
    <xf numFmtId="1" fontId="0" fillId="2" borderId="0" xfId="0" applyNumberFormat="1" applyFill="1" applyAlignment="1">
      <alignment vertical="top"/>
    </xf>
    <xf numFmtId="164" fontId="0" fillId="2" borderId="1" xfId="1" applyNumberFormat="1" applyFont="1" applyFill="1" applyBorder="1" applyAlignment="1">
      <alignment vertical="top"/>
    </xf>
    <xf numFmtId="1" fontId="0" fillId="2" borderId="1" xfId="0" applyNumberFormat="1" applyFill="1" applyBorder="1" applyAlignment="1">
      <alignment vertical="top"/>
    </xf>
    <xf numFmtId="0" fontId="0" fillId="0" borderId="1" xfId="0" applyBorder="1" applyAlignment="1">
      <alignment horizontal="center"/>
    </xf>
    <xf numFmtId="164" fontId="0" fillId="0" borderId="13" xfId="1" applyNumberFormat="1" applyFont="1" applyFill="1" applyBorder="1"/>
    <xf numFmtId="164" fontId="0" fillId="0" borderId="9" xfId="1" applyNumberFormat="1" applyFont="1" applyFill="1" applyBorder="1"/>
    <xf numFmtId="0" fontId="0" fillId="2" borderId="0" xfId="0" applyFill="1" applyAlignment="1">
      <alignment horizontal="left" vertical="top"/>
    </xf>
    <xf numFmtId="0" fontId="0" fillId="2" borderId="1" xfId="0" applyFill="1" applyBorder="1" applyAlignment="1">
      <alignment horizontal="left"/>
    </xf>
    <xf numFmtId="0" fontId="0" fillId="0" borderId="0" xfId="0" applyNumberFormat="1" applyFill="1" applyAlignment="1">
      <alignment horizontal="left" vertical="top"/>
    </xf>
    <xf numFmtId="0" fontId="0" fillId="0" borderId="1" xfId="0" applyNumberFormat="1" applyFill="1" applyBorder="1" applyAlignment="1">
      <alignment horizontal="left"/>
    </xf>
    <xf numFmtId="0" fontId="0" fillId="2" borderId="0" xfId="0" applyNumberFormat="1" applyFill="1" applyAlignment="1">
      <alignment horizontal="left" vertical="top"/>
    </xf>
    <xf numFmtId="0" fontId="0" fillId="2" borderId="1" xfId="0" applyNumberFormat="1" applyFill="1" applyBorder="1" applyAlignment="1">
      <alignment horizontal="left"/>
    </xf>
    <xf numFmtId="14" fontId="0" fillId="0" borderId="0" xfId="0" applyNumberFormat="1" applyFont="1" applyFill="1"/>
    <xf numFmtId="0" fontId="0" fillId="0" borderId="0" xfId="0" applyFont="1" applyAlignment="1">
      <alignment horizontal="center"/>
    </xf>
    <xf numFmtId="164" fontId="4" fillId="0" borderId="0" xfId="1" applyNumberFormat="1" applyFont="1" applyFill="1" applyAlignment="1">
      <alignment vertical="top"/>
    </xf>
    <xf numFmtId="0" fontId="0" fillId="0" borderId="18" xfId="0" applyBorder="1"/>
    <xf numFmtId="1" fontId="0" fillId="0" borderId="4" xfId="0" applyNumberFormat="1" applyBorder="1"/>
    <xf numFmtId="0" fontId="12" fillId="0" borderId="0" xfId="4" applyNumberFormat="1" applyBorder="1" applyAlignment="1"/>
    <xf numFmtId="9" fontId="0" fillId="0" borderId="9" xfId="3" quotePrefix="1" applyFont="1" applyBorder="1"/>
    <xf numFmtId="0" fontId="5" fillId="0" borderId="7" xfId="0" applyFont="1" applyFill="1" applyBorder="1" applyAlignment="1">
      <alignment horizontal="center" vertical="top" wrapText="1"/>
    </xf>
    <xf numFmtId="0" fontId="5" fillId="0" borderId="7" xfId="0" applyFont="1" applyFill="1" applyBorder="1" applyAlignment="1">
      <alignment horizontal="left" vertical="top" wrapText="1"/>
    </xf>
    <xf numFmtId="0" fontId="0" fillId="0" borderId="24" xfId="0" applyBorder="1"/>
    <xf numFmtId="1" fontId="0" fillId="0" borderId="0" xfId="0" applyNumberFormat="1" applyFill="1" applyAlignment="1">
      <alignment horizontal="right" vertical="top"/>
    </xf>
    <xf numFmtId="1" fontId="0" fillId="0" borderId="1" xfId="0" applyNumberFormat="1" applyFill="1" applyBorder="1" applyAlignment="1">
      <alignment horizontal="right"/>
    </xf>
    <xf numFmtId="1" fontId="0" fillId="0" borderId="4" xfId="0" applyNumberFormat="1" applyBorder="1" applyAlignment="1">
      <alignment horizontal="right"/>
    </xf>
    <xf numFmtId="0" fontId="0" fillId="0" borderId="1" xfId="0" applyBorder="1" applyAlignment="1">
      <alignment horizontal="center" wrapText="1"/>
    </xf>
    <xf numFmtId="0" fontId="6" fillId="0" borderId="1" xfId="0" applyFont="1" applyBorder="1" applyAlignment="1">
      <alignment horizontal="center" vertical="top" wrapText="1"/>
    </xf>
    <xf numFmtId="164" fontId="0" fillId="0" borderId="24" xfId="1" applyNumberFormat="1" applyFont="1" applyFill="1" applyBorder="1"/>
    <xf numFmtId="9" fontId="3" fillId="0" borderId="0" xfId="3" applyFont="1" applyAlignment="1">
      <alignment horizontal="right" wrapText="1"/>
    </xf>
    <xf numFmtId="0" fontId="3" fillId="0" borderId="0" xfId="0" applyFont="1" applyAlignment="1">
      <alignment horizontal="right" wrapText="1"/>
    </xf>
    <xf numFmtId="0" fontId="3" fillId="0" borderId="0" xfId="0" applyFont="1" applyAlignment="1">
      <alignment wrapText="1"/>
    </xf>
    <xf numFmtId="4" fontId="0" fillId="2" borderId="7" xfId="3" applyNumberFormat="1" applyFont="1" applyFill="1" applyBorder="1"/>
    <xf numFmtId="3" fontId="0" fillId="2" borderId="7" xfId="0" applyNumberFormat="1" applyFill="1" applyBorder="1"/>
    <xf numFmtId="167" fontId="0" fillId="0" borderId="7" xfId="0" applyNumberFormat="1" applyBorder="1"/>
    <xf numFmtId="4" fontId="0" fillId="0" borderId="15" xfId="3" applyNumberFormat="1" applyFont="1" applyBorder="1"/>
    <xf numFmtId="3" fontId="0" fillId="0" borderId="15" xfId="3" applyNumberFormat="1" applyFont="1" applyBorder="1"/>
    <xf numFmtId="167" fontId="0" fillId="0" borderId="15" xfId="0" applyNumberFormat="1" applyBorder="1"/>
    <xf numFmtId="4" fontId="0" fillId="2" borderId="25" xfId="3" applyNumberFormat="1" applyFont="1" applyFill="1" applyBorder="1"/>
    <xf numFmtId="3" fontId="0" fillId="2" borderId="25" xfId="0" applyNumberFormat="1" applyFill="1" applyBorder="1"/>
    <xf numFmtId="167" fontId="0" fillId="0" borderId="25" xfId="0" applyNumberFormat="1" applyBorder="1"/>
    <xf numFmtId="164" fontId="3" fillId="0" borderId="7" xfId="0" applyNumberFormat="1" applyFont="1" applyBorder="1"/>
    <xf numFmtId="164" fontId="3" fillId="0" borderId="25" xfId="0" applyNumberFormat="1" applyFont="1" applyBorder="1"/>
    <xf numFmtId="164" fontId="3" fillId="0" borderId="15" xfId="0" applyNumberFormat="1" applyFont="1" applyBorder="1"/>
    <xf numFmtId="3" fontId="0" fillId="0" borderId="7" xfId="0" applyNumberFormat="1" applyFill="1" applyBorder="1"/>
    <xf numFmtId="3" fontId="0" fillId="0" borderId="25" xfId="0" applyNumberFormat="1" applyFill="1" applyBorder="1"/>
    <xf numFmtId="4" fontId="0" fillId="0" borderId="7" xfId="3" applyNumberFormat="1" applyFont="1" applyFill="1" applyBorder="1"/>
    <xf numFmtId="4" fontId="0" fillId="0" borderId="25" xfId="3" applyNumberFormat="1" applyFont="1" applyFill="1" applyBorder="1"/>
    <xf numFmtId="14" fontId="0" fillId="0" borderId="0" xfId="0" applyNumberFormat="1" applyFont="1"/>
    <xf numFmtId="9" fontId="0" fillId="0" borderId="13" xfId="3" quotePrefix="1" applyFont="1" applyBorder="1"/>
    <xf numFmtId="0" fontId="14" fillId="0" borderId="0" xfId="0" applyFont="1" applyFill="1" applyAlignment="1">
      <alignment vertical="top"/>
    </xf>
    <xf numFmtId="164" fontId="0" fillId="0" borderId="24" xfId="1" applyNumberFormat="1" applyFont="1" applyBorder="1"/>
    <xf numFmtId="9" fontId="0" fillId="0" borderId="24" xfId="3" applyFont="1" applyBorder="1"/>
    <xf numFmtId="0" fontId="0" fillId="0" borderId="1" xfId="0" applyFill="1" applyBorder="1" applyAlignment="1">
      <alignment vertical="top"/>
    </xf>
    <xf numFmtId="0" fontId="0" fillId="0" borderId="1" xfId="0" applyFill="1" applyBorder="1" applyAlignment="1">
      <alignment vertical="top" wrapText="1"/>
    </xf>
    <xf numFmtId="0" fontId="0" fillId="0" borderId="1" xfId="0" applyFill="1" applyBorder="1" applyAlignment="1">
      <alignment horizontal="center" vertical="top" wrapText="1"/>
    </xf>
    <xf numFmtId="166" fontId="0" fillId="0" borderId="0" xfId="0" applyNumberFormat="1" applyFont="1"/>
    <xf numFmtId="0" fontId="0" fillId="2" borderId="11" xfId="0" applyFill="1" applyBorder="1" applyAlignment="1">
      <alignment horizontal="center" vertical="top"/>
    </xf>
    <xf numFmtId="0" fontId="6" fillId="0" borderId="0" xfId="0" applyFont="1" applyBorder="1" applyAlignment="1">
      <alignment vertical="center"/>
    </xf>
    <xf numFmtId="6" fontId="6" fillId="0" borderId="0" xfId="0" applyNumberFormat="1" applyFont="1" applyBorder="1" applyAlignment="1">
      <alignment horizontal="center" vertical="center" wrapText="1"/>
    </xf>
    <xf numFmtId="6" fontId="0" fillId="0" borderId="0" xfId="0" applyNumberFormat="1" applyFont="1" applyBorder="1" applyAlignment="1">
      <alignment horizontal="center"/>
    </xf>
    <xf numFmtId="165" fontId="0" fillId="0" borderId="26" xfId="2" applyNumberFormat="1" applyFont="1" applyBorder="1"/>
    <xf numFmtId="165" fontId="0" fillId="2" borderId="0" xfId="2" applyNumberFormat="1" applyFont="1" applyFill="1"/>
    <xf numFmtId="164" fontId="0" fillId="0" borderId="27" xfId="0" applyNumberFormat="1" applyFont="1" applyFill="1" applyBorder="1" applyAlignment="1">
      <alignment horizontal="right"/>
    </xf>
    <xf numFmtId="0" fontId="2" fillId="0" borderId="0" xfId="0" applyFont="1"/>
    <xf numFmtId="168" fontId="0" fillId="2" borderId="0" xfId="2" applyNumberFormat="1" applyFont="1" applyFill="1"/>
    <xf numFmtId="10" fontId="0" fillId="2" borderId="0" xfId="3" applyNumberFormat="1" applyFont="1" applyFill="1"/>
    <xf numFmtId="1" fontId="0" fillId="0" borderId="15" xfId="3" applyNumberFormat="1" applyFont="1" applyFill="1" applyBorder="1" applyAlignment="1">
      <alignment horizontal="center" vertical="top" wrapText="1"/>
    </xf>
    <xf numFmtId="1" fontId="0" fillId="0" borderId="9" xfId="3" applyNumberFormat="1" applyFont="1" applyFill="1" applyBorder="1" applyAlignment="1">
      <alignment horizontal="center" vertical="top" wrapText="1"/>
    </xf>
    <xf numFmtId="1" fontId="0" fillId="0" borderId="13" xfId="3" applyNumberFormat="1" applyFont="1" applyFill="1" applyBorder="1" applyAlignment="1">
      <alignment horizontal="center" vertical="top" wrapText="1"/>
    </xf>
    <xf numFmtId="1" fontId="0" fillId="0" borderId="9" xfId="0" applyNumberFormat="1" applyFill="1" applyBorder="1" applyAlignment="1">
      <alignment horizontal="center" vertical="top"/>
    </xf>
    <xf numFmtId="1" fontId="0" fillId="0" borderId="13" xfId="0" applyNumberFormat="1" applyFill="1" applyBorder="1" applyAlignment="1">
      <alignment horizontal="center" vertical="top"/>
    </xf>
    <xf numFmtId="0" fontId="3" fillId="0" borderId="0" xfId="0" applyFont="1" applyFill="1"/>
    <xf numFmtId="2" fontId="0" fillId="0" borderId="0" xfId="3" applyNumberFormat="1" applyFont="1" applyFill="1" applyBorder="1" applyAlignment="1">
      <alignment horizontal="center"/>
    </xf>
    <xf numFmtId="2" fontId="0" fillId="0" borderId="9" xfId="3" applyNumberFormat="1" applyFont="1" applyFill="1" applyBorder="1" applyAlignment="1">
      <alignment horizontal="center"/>
    </xf>
    <xf numFmtId="2" fontId="0" fillId="0" borderId="13" xfId="3" applyNumberFormat="1" applyFont="1" applyFill="1" applyBorder="1" applyAlignment="1">
      <alignment horizontal="center"/>
    </xf>
    <xf numFmtId="0" fontId="0" fillId="0" borderId="13" xfId="0" applyFill="1" applyBorder="1" applyAlignment="1">
      <alignment horizontal="center" vertical="top"/>
    </xf>
    <xf numFmtId="8" fontId="0" fillId="0" borderId="0" xfId="0" applyNumberFormat="1" applyFont="1"/>
    <xf numFmtId="165" fontId="0" fillId="0" borderId="0" xfId="2" applyNumberFormat="1" applyFont="1"/>
    <xf numFmtId="169" fontId="0" fillId="0" borderId="0" xfId="0" applyNumberFormat="1"/>
    <xf numFmtId="170" fontId="0" fillId="0" borderId="9" xfId="3" applyNumberFormat="1" applyFont="1" applyBorder="1"/>
    <xf numFmtId="0" fontId="2" fillId="0" borderId="0" xfId="0" applyFont="1" applyAlignment="1">
      <alignment horizontal="left" wrapText="1"/>
    </xf>
    <xf numFmtId="0" fontId="2" fillId="0" borderId="0" xfId="0" applyFont="1" applyAlignment="1">
      <alignment horizontal="left" vertical="top" wrapText="1"/>
    </xf>
    <xf numFmtId="0" fontId="9" fillId="0" borderId="0" xfId="0" applyFont="1" applyAlignment="1">
      <alignment horizontal="right"/>
    </xf>
    <xf numFmtId="0" fontId="4" fillId="0" borderId="0" xfId="0" applyFont="1" applyAlignment="1">
      <alignment horizontal="left" vertical="center" wrapText="1"/>
    </xf>
    <xf numFmtId="0" fontId="0" fillId="0" borderId="9" xfId="0" applyFill="1" applyBorder="1" applyAlignment="1">
      <alignment horizontal="center" vertical="top"/>
    </xf>
    <xf numFmtId="0" fontId="0" fillId="0" borderId="13" xfId="0" applyFill="1" applyBorder="1" applyAlignment="1">
      <alignment horizontal="center" vertical="top"/>
    </xf>
    <xf numFmtId="0" fontId="0" fillId="0" borderId="9" xfId="0" applyFont="1" applyFill="1" applyBorder="1" applyAlignment="1">
      <alignment horizontal="left" vertical="top" wrapText="1"/>
    </xf>
    <xf numFmtId="0" fontId="0" fillId="0" borderId="11"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16" xfId="0" applyFont="1" applyFill="1" applyBorder="1" applyAlignment="1">
      <alignment horizontal="left" vertical="top" wrapText="1"/>
    </xf>
    <xf numFmtId="0" fontId="0" fillId="0" borderId="5" xfId="0" applyFill="1" applyBorder="1" applyAlignment="1">
      <alignment horizontal="center" vertical="top"/>
    </xf>
    <xf numFmtId="0" fontId="0" fillId="2" borderId="13" xfId="0" applyFill="1" applyBorder="1" applyAlignment="1">
      <alignment horizontal="center" vertical="top"/>
    </xf>
    <xf numFmtId="0" fontId="3" fillId="0" borderId="0" xfId="0" applyFont="1" applyFill="1" applyAlignment="1">
      <alignment horizontal="center" vertical="top"/>
    </xf>
    <xf numFmtId="0" fontId="0" fillId="2" borderId="9" xfId="0" applyFill="1" applyBorder="1" applyAlignment="1">
      <alignment horizontal="center" vertical="top"/>
    </xf>
  </cellXfs>
  <cellStyles count="5">
    <cellStyle name="Comma" xfId="1" builtinId="3"/>
    <cellStyle name="Currency" xfId="2" builtinId="4"/>
    <cellStyle name="Hyperlink" xfId="4" builtinId="8"/>
    <cellStyle name="Normal" xfId="0" builtinId="0"/>
    <cellStyle name="Percent" xfId="3" builtinId="5"/>
  </cellStyles>
  <dxfs count="15">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fm.wa.gov/sites/default/files/public/budget/forms/C100_2021.xlsx" TargetMode="External"/><Relationship Id="rId1" Type="http://schemas.openxmlformats.org/officeDocument/2006/relationships/hyperlink" Target="http://www.sbctc.edu/colleges-staff/programs-services/capital-budget/capital-budget-development.asp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ofm.wa.gov/budget/facilities/fis.asp" TargetMode="External"/><Relationship Id="rId1" Type="http://schemas.openxmlformats.org/officeDocument/2006/relationships/hyperlink" Target="http://www.sbctc.edu/colleges-staff/programs-services/capital-budget/capital-budget-development.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2:D67"/>
  <sheetViews>
    <sheetView showGridLines="0" tabSelected="1" workbookViewId="0">
      <selection activeCell="B2" sqref="B2"/>
    </sheetView>
  </sheetViews>
  <sheetFormatPr defaultRowHeight="15" x14ac:dyDescent="0.25"/>
  <cols>
    <col min="2" max="2" width="11.140625" customWidth="1"/>
    <col min="3" max="3" width="6.28515625" customWidth="1"/>
    <col min="4" max="4" width="107.140625" bestFit="1" customWidth="1"/>
  </cols>
  <sheetData>
    <row r="2" spans="2:3" x14ac:dyDescent="0.25">
      <c r="B2" s="22" t="s">
        <v>291</v>
      </c>
    </row>
    <row r="3" spans="2:3" x14ac:dyDescent="0.25">
      <c r="B3" s="120" t="s">
        <v>292</v>
      </c>
    </row>
    <row r="4" spans="2:3" x14ac:dyDescent="0.25">
      <c r="B4" s="165" t="s">
        <v>323</v>
      </c>
    </row>
    <row r="5" spans="2:3" x14ac:dyDescent="0.25">
      <c r="B5" s="165"/>
    </row>
    <row r="6" spans="2:3" x14ac:dyDescent="0.25">
      <c r="B6" s="165" t="s">
        <v>178</v>
      </c>
    </row>
    <row r="7" spans="2:3" x14ac:dyDescent="0.25">
      <c r="C7" s="183" t="s">
        <v>223</v>
      </c>
    </row>
    <row r="9" spans="2:3" x14ac:dyDescent="0.25">
      <c r="B9" t="s">
        <v>139</v>
      </c>
    </row>
    <row r="10" spans="2:3" x14ac:dyDescent="0.25">
      <c r="B10" t="s">
        <v>140</v>
      </c>
    </row>
    <row r="11" spans="2:3" x14ac:dyDescent="0.25">
      <c r="B11" t="s">
        <v>224</v>
      </c>
    </row>
    <row r="12" spans="2:3" x14ac:dyDescent="0.25">
      <c r="B12" t="s">
        <v>225</v>
      </c>
    </row>
    <row r="13" spans="2:3" x14ac:dyDescent="0.25">
      <c r="B13" t="s">
        <v>226</v>
      </c>
    </row>
    <row r="15" spans="2:3" x14ac:dyDescent="0.25">
      <c r="B15" t="s">
        <v>150</v>
      </c>
    </row>
    <row r="16" spans="2:3" x14ac:dyDescent="0.25">
      <c r="C16" s="160"/>
    </row>
    <row r="17" spans="3:4" x14ac:dyDescent="0.25">
      <c r="C17" t="s">
        <v>151</v>
      </c>
      <c r="D17" s="160"/>
    </row>
    <row r="18" spans="3:4" x14ac:dyDescent="0.25">
      <c r="D18" s="160" t="s">
        <v>129</v>
      </c>
    </row>
    <row r="19" spans="3:4" x14ac:dyDescent="0.25">
      <c r="D19" s="163" t="s">
        <v>135</v>
      </c>
    </row>
    <row r="20" spans="3:4" x14ac:dyDescent="0.25">
      <c r="D20" s="160" t="s">
        <v>130</v>
      </c>
    </row>
    <row r="21" spans="3:4" x14ac:dyDescent="0.25">
      <c r="D21" s="161" t="s">
        <v>277</v>
      </c>
    </row>
    <row r="22" spans="3:4" x14ac:dyDescent="0.25">
      <c r="D22" s="161" t="s">
        <v>263</v>
      </c>
    </row>
    <row r="23" spans="3:4" x14ac:dyDescent="0.25">
      <c r="D23" s="161" t="s">
        <v>260</v>
      </c>
    </row>
    <row r="24" spans="3:4" x14ac:dyDescent="0.25">
      <c r="D24" s="161" t="s">
        <v>261</v>
      </c>
    </row>
    <row r="25" spans="3:4" x14ac:dyDescent="0.25">
      <c r="D25" s="161" t="s">
        <v>264</v>
      </c>
    </row>
    <row r="26" spans="3:4" x14ac:dyDescent="0.25">
      <c r="D26" s="161" t="s">
        <v>167</v>
      </c>
    </row>
    <row r="27" spans="3:4" x14ac:dyDescent="0.25">
      <c r="D27" t="s">
        <v>168</v>
      </c>
    </row>
    <row r="28" spans="3:4" x14ac:dyDescent="0.25">
      <c r="D28" t="s">
        <v>172</v>
      </c>
    </row>
    <row r="29" spans="3:4" x14ac:dyDescent="0.25">
      <c r="D29" t="s">
        <v>262</v>
      </c>
    </row>
    <row r="30" spans="3:4" x14ac:dyDescent="0.25">
      <c r="D30" s="161" t="s">
        <v>265</v>
      </c>
    </row>
    <row r="31" spans="3:4" x14ac:dyDescent="0.25">
      <c r="D31" s="161" t="s">
        <v>169</v>
      </c>
    </row>
    <row r="32" spans="3:4" x14ac:dyDescent="0.25">
      <c r="D32" t="s">
        <v>170</v>
      </c>
    </row>
    <row r="33" spans="2:4" x14ac:dyDescent="0.25">
      <c r="D33" t="s">
        <v>171</v>
      </c>
    </row>
    <row r="34" spans="2:4" x14ac:dyDescent="0.25">
      <c r="D34" t="s">
        <v>262</v>
      </c>
    </row>
    <row r="35" spans="2:4" x14ac:dyDescent="0.25">
      <c r="D35" s="161" t="s">
        <v>136</v>
      </c>
    </row>
    <row r="36" spans="2:4" x14ac:dyDescent="0.25">
      <c r="D36" s="160"/>
    </row>
    <row r="37" spans="2:4" x14ac:dyDescent="0.25">
      <c r="C37" t="s">
        <v>152</v>
      </c>
      <c r="D37" s="160"/>
    </row>
    <row r="38" spans="2:4" x14ac:dyDescent="0.25">
      <c r="D38" s="160" t="s">
        <v>173</v>
      </c>
    </row>
    <row r="39" spans="2:4" x14ac:dyDescent="0.25">
      <c r="D39" s="160" t="s">
        <v>126</v>
      </c>
    </row>
    <row r="40" spans="2:4" x14ac:dyDescent="0.25">
      <c r="D40" s="161" t="s">
        <v>137</v>
      </c>
    </row>
    <row r="42" spans="2:4" x14ac:dyDescent="0.25">
      <c r="C42" t="s">
        <v>153</v>
      </c>
    </row>
    <row r="43" spans="2:4" x14ac:dyDescent="0.25">
      <c r="D43" t="s">
        <v>269</v>
      </c>
    </row>
    <row r="44" spans="2:4" x14ac:dyDescent="0.25">
      <c r="C44" s="160"/>
      <c r="D44" s="160" t="s">
        <v>268</v>
      </c>
    </row>
    <row r="45" spans="2:4" x14ac:dyDescent="0.25">
      <c r="C45" s="160"/>
      <c r="D45" s="161" t="s">
        <v>267</v>
      </c>
    </row>
    <row r="46" spans="2:4" x14ac:dyDescent="0.25">
      <c r="C46" s="160"/>
    </row>
    <row r="47" spans="2:4" x14ac:dyDescent="0.25">
      <c r="B47" t="s">
        <v>138</v>
      </c>
      <c r="C47" s="160"/>
    </row>
    <row r="48" spans="2:4" x14ac:dyDescent="0.25">
      <c r="C48" s="160"/>
    </row>
    <row r="49" spans="2:4" x14ac:dyDescent="0.25">
      <c r="B49" t="s">
        <v>222</v>
      </c>
      <c r="C49" s="160"/>
    </row>
    <row r="50" spans="2:4" x14ac:dyDescent="0.25">
      <c r="C50" s="160"/>
    </row>
    <row r="51" spans="2:4" x14ac:dyDescent="0.25">
      <c r="B51" t="s">
        <v>176</v>
      </c>
      <c r="C51" s="160"/>
    </row>
    <row r="52" spans="2:4" x14ac:dyDescent="0.25">
      <c r="C52" s="160" t="s">
        <v>316</v>
      </c>
    </row>
    <row r="53" spans="2:4" x14ac:dyDescent="0.25">
      <c r="C53" s="160"/>
      <c r="D53" s="205" t="s">
        <v>293</v>
      </c>
    </row>
    <row r="54" spans="2:4" x14ac:dyDescent="0.25">
      <c r="C54" s="160" t="s">
        <v>177</v>
      </c>
    </row>
    <row r="55" spans="2:4" x14ac:dyDescent="0.25">
      <c r="C55" s="160"/>
      <c r="D55" t="s">
        <v>278</v>
      </c>
    </row>
    <row r="56" spans="2:4" x14ac:dyDescent="0.25">
      <c r="C56" s="160"/>
      <c r="D56" t="s">
        <v>317</v>
      </c>
    </row>
    <row r="57" spans="2:4" x14ac:dyDescent="0.25">
      <c r="C57" s="160"/>
      <c r="D57" t="s">
        <v>179</v>
      </c>
    </row>
    <row r="58" spans="2:4" x14ac:dyDescent="0.25">
      <c r="C58" s="160"/>
    </row>
    <row r="59" spans="2:4" x14ac:dyDescent="0.25">
      <c r="B59" t="s">
        <v>143</v>
      </c>
    </row>
    <row r="61" spans="2:4" x14ac:dyDescent="0.25">
      <c r="B61" t="s">
        <v>144</v>
      </c>
    </row>
    <row r="63" spans="2:4" x14ac:dyDescent="0.25">
      <c r="B63" t="s">
        <v>145</v>
      </c>
    </row>
    <row r="64" spans="2:4" x14ac:dyDescent="0.25">
      <c r="B64" t="s">
        <v>146</v>
      </c>
    </row>
    <row r="65" spans="2:2" x14ac:dyDescent="0.25">
      <c r="B65" t="s">
        <v>147</v>
      </c>
    </row>
    <row r="66" spans="2:2" x14ac:dyDescent="0.25">
      <c r="B66" t="s">
        <v>148</v>
      </c>
    </row>
    <row r="67" spans="2:2" x14ac:dyDescent="0.25">
      <c r="B67" t="s">
        <v>149</v>
      </c>
    </row>
  </sheetData>
  <hyperlinks>
    <hyperlink ref="C7" r:id="rId1" xr:uid="{00000000-0004-0000-0000-000000000000}"/>
    <hyperlink ref="D53" r:id="rId2" xr:uid="{00000000-0004-0000-0000-000001000000}"/>
  </hyperlinks>
  <pageMargins left="0.7" right="0.7" top="0.75" bottom="0.75" header="0.3" footer="0.3"/>
  <pageSetup scale="71" orientation="portrait" r:id="rId3"/>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2:G138"/>
  <sheetViews>
    <sheetView showGridLines="0" topLeftCell="B1" zoomScaleNormal="100" workbookViewId="0">
      <selection activeCell="C2" sqref="C2"/>
    </sheetView>
  </sheetViews>
  <sheetFormatPr defaultRowHeight="15" x14ac:dyDescent="0.25"/>
  <cols>
    <col min="3" max="3" width="10.5703125" customWidth="1"/>
    <col min="4" max="4" width="11.5703125" bestFit="1" customWidth="1"/>
    <col min="5" max="5" width="9.7109375" bestFit="1" customWidth="1"/>
    <col min="6" max="6" width="54.85546875" bestFit="1" customWidth="1"/>
    <col min="7" max="7" width="42.5703125" customWidth="1"/>
  </cols>
  <sheetData>
    <row r="2" spans="3:7" x14ac:dyDescent="0.25">
      <c r="C2" s="22" t="s">
        <v>112</v>
      </c>
    </row>
    <row r="3" spans="3:7" x14ac:dyDescent="0.25">
      <c r="C3" s="22"/>
    </row>
    <row r="4" spans="3:7" x14ac:dyDescent="0.25">
      <c r="D4" t="s">
        <v>129</v>
      </c>
    </row>
    <row r="5" spans="3:7" x14ac:dyDescent="0.25">
      <c r="D5" s="193">
        <f>D116</f>
        <v>10000</v>
      </c>
      <c r="E5" s="109">
        <f>IF(D5&gt;0,D5/$D$9,0)</f>
        <v>0.15384615384615385</v>
      </c>
      <c r="F5" s="61" t="s">
        <v>72</v>
      </c>
      <c r="G5" s="268" t="s">
        <v>120</v>
      </c>
    </row>
    <row r="6" spans="3:7" x14ac:dyDescent="0.25">
      <c r="D6" s="108">
        <v>55000</v>
      </c>
      <c r="E6" s="109">
        <f>IF(D6&gt;0,D6/$D$9,0)</f>
        <v>0.84615384615384615</v>
      </c>
      <c r="F6" s="61" t="s">
        <v>74</v>
      </c>
      <c r="G6" s="268"/>
    </row>
    <row r="7" spans="3:7" x14ac:dyDescent="0.25">
      <c r="D7" s="215">
        <f>E106+E138</f>
        <v>2000</v>
      </c>
      <c r="E7" s="109">
        <f>IF(D7&gt;0,D7/$D$9,0)</f>
        <v>3.0769230769230771E-2</v>
      </c>
      <c r="F7" s="209" t="s">
        <v>250</v>
      </c>
      <c r="G7" s="268"/>
    </row>
    <row r="8" spans="3:7" x14ac:dyDescent="0.25">
      <c r="D8" s="192">
        <f>D84</f>
        <v>10000</v>
      </c>
      <c r="E8" s="111">
        <f>IF(D8&gt;0,D8/$D$9,0)</f>
        <v>0.15384615384615385</v>
      </c>
      <c r="F8" s="65" t="s">
        <v>76</v>
      </c>
      <c r="G8" s="268"/>
    </row>
    <row r="9" spans="3:7" x14ac:dyDescent="0.25">
      <c r="D9" s="18">
        <f>SUM(D5:D6)</f>
        <v>65000</v>
      </c>
      <c r="E9" s="19">
        <f>IF(D9&gt;0,D9/$D$9,0)</f>
        <v>1</v>
      </c>
      <c r="F9" t="s">
        <v>78</v>
      </c>
      <c r="G9" s="268"/>
    </row>
    <row r="10" spans="3:7" x14ac:dyDescent="0.25">
      <c r="D10" s="18">
        <f>IF((D6-D7-D8)&lt;0,0,D6-D7-D8)</f>
        <v>43000</v>
      </c>
      <c r="E10" s="19">
        <f>IF((E6-E7-E8)&lt;0,0,E6-E7-E8)</f>
        <v>0.66153846153846152</v>
      </c>
      <c r="F10" t="s">
        <v>227</v>
      </c>
    </row>
    <row r="11" spans="3:7" x14ac:dyDescent="0.25">
      <c r="D11" s="18"/>
      <c r="E11" s="19"/>
    </row>
    <row r="12" spans="3:7" x14ac:dyDescent="0.25">
      <c r="D12" s="18" t="s">
        <v>180</v>
      </c>
      <c r="E12" s="19"/>
    </row>
    <row r="13" spans="3:7" x14ac:dyDescent="0.25">
      <c r="D13" s="108">
        <v>0</v>
      </c>
      <c r="E13" s="109">
        <f t="shared" ref="E13:E19" si="0">IF(D13&gt;0,D13/$D$20,0)</f>
        <v>0</v>
      </c>
      <c r="F13" s="61" t="s">
        <v>81</v>
      </c>
    </row>
    <row r="14" spans="3:7" x14ac:dyDescent="0.25">
      <c r="D14" s="108">
        <f>D15*0.15</f>
        <v>4095000</v>
      </c>
      <c r="E14" s="109">
        <f t="shared" si="0"/>
        <v>0.11693284533918971</v>
      </c>
      <c r="F14" s="61" t="s">
        <v>82</v>
      </c>
    </row>
    <row r="15" spans="3:7" x14ac:dyDescent="0.25">
      <c r="D15" s="108">
        <f>420*65000</f>
        <v>27300000</v>
      </c>
      <c r="E15" s="109">
        <f t="shared" si="0"/>
        <v>0.77955230226126471</v>
      </c>
      <c r="F15" s="61" t="s">
        <v>83</v>
      </c>
    </row>
    <row r="16" spans="3:7" x14ac:dyDescent="0.25">
      <c r="D16" s="108">
        <v>3000000</v>
      </c>
      <c r="E16" s="109">
        <f t="shared" si="0"/>
        <v>8.5665088160578537E-2</v>
      </c>
      <c r="F16" s="61" t="s">
        <v>84</v>
      </c>
    </row>
    <row r="17" spans="1:7" ht="15" customHeight="1" x14ac:dyDescent="0.25">
      <c r="C17" s="266"/>
      <c r="D17" s="108">
        <v>175100.53823237182</v>
      </c>
      <c r="E17" s="267">
        <f t="shared" si="0"/>
        <v>5.0000010148802954E-3</v>
      </c>
      <c r="F17" s="61" t="s">
        <v>85</v>
      </c>
    </row>
    <row r="18" spans="1:7" ht="14.45" customHeight="1" x14ac:dyDescent="0.25">
      <c r="D18" s="108">
        <v>200000</v>
      </c>
      <c r="E18" s="109">
        <f t="shared" si="0"/>
        <v>5.7110058773719025E-3</v>
      </c>
      <c r="F18" s="61" t="s">
        <v>86</v>
      </c>
      <c r="G18" s="68"/>
    </row>
    <row r="19" spans="1:7" x14ac:dyDescent="0.25">
      <c r="A19" s="10"/>
      <c r="D19" s="110">
        <v>250000</v>
      </c>
      <c r="E19" s="111">
        <f t="shared" si="0"/>
        <v>7.1387573467148781E-3</v>
      </c>
      <c r="F19" s="65" t="s">
        <v>87</v>
      </c>
      <c r="G19" s="269" t="s">
        <v>295</v>
      </c>
    </row>
    <row r="20" spans="1:7" ht="15" customHeight="1" x14ac:dyDescent="0.25">
      <c r="A20" s="10"/>
      <c r="D20" s="18">
        <f>SUM(D13:D19)</f>
        <v>35020100.538232371</v>
      </c>
      <c r="E20" s="19">
        <f>SUM(E13:E19)</f>
        <v>1</v>
      </c>
      <c r="F20" t="s">
        <v>182</v>
      </c>
      <c r="G20" s="269"/>
    </row>
    <row r="21" spans="1:7" x14ac:dyDescent="0.25">
      <c r="A21" s="10"/>
      <c r="D21" s="18"/>
      <c r="E21" s="19"/>
      <c r="G21" s="269"/>
    </row>
    <row r="22" spans="1:7" x14ac:dyDescent="0.25">
      <c r="A22" s="10"/>
      <c r="D22" s="18" t="s">
        <v>181</v>
      </c>
      <c r="E22" s="19"/>
    </row>
    <row r="23" spans="1:7" x14ac:dyDescent="0.25">
      <c r="A23" s="10"/>
      <c r="D23" s="108"/>
      <c r="E23" s="109">
        <f t="shared" ref="E23:E29" si="1">IF(D23&gt;0,D23/$D$20,0)</f>
        <v>0</v>
      </c>
      <c r="F23" s="61" t="s">
        <v>81</v>
      </c>
    </row>
    <row r="24" spans="1:7" x14ac:dyDescent="0.25">
      <c r="A24" s="10"/>
      <c r="D24" s="108">
        <f>D25*0.15</f>
        <v>150000</v>
      </c>
      <c r="E24" s="109">
        <f t="shared" si="1"/>
        <v>4.2832544080289268E-3</v>
      </c>
      <c r="F24" s="61" t="s">
        <v>82</v>
      </c>
    </row>
    <row r="25" spans="1:7" x14ac:dyDescent="0.25">
      <c r="A25" s="10"/>
      <c r="D25" s="108">
        <v>1000000</v>
      </c>
      <c r="E25" s="109">
        <f t="shared" si="1"/>
        <v>2.8555029386859512E-2</v>
      </c>
      <c r="F25" s="61" t="s">
        <v>83</v>
      </c>
    </row>
    <row r="26" spans="1:7" x14ac:dyDescent="0.25">
      <c r="A26" s="10"/>
      <c r="D26" s="108">
        <v>0</v>
      </c>
      <c r="E26" s="109">
        <f t="shared" si="1"/>
        <v>0</v>
      </c>
      <c r="F26" s="61" t="s">
        <v>84</v>
      </c>
    </row>
    <row r="27" spans="1:7" x14ac:dyDescent="0.25">
      <c r="A27" s="10"/>
      <c r="C27" s="266"/>
      <c r="D27" s="108">
        <v>175100.50269116188</v>
      </c>
      <c r="E27" s="267">
        <f t="shared" si="1"/>
        <v>5.000000000000001E-3</v>
      </c>
      <c r="F27" s="61" t="s">
        <v>85</v>
      </c>
    </row>
    <row r="28" spans="1:7" x14ac:dyDescent="0.25">
      <c r="A28" s="10"/>
      <c r="D28" s="108"/>
      <c r="E28" s="109">
        <f t="shared" si="1"/>
        <v>0</v>
      </c>
      <c r="F28" s="61" t="s">
        <v>86</v>
      </c>
      <c r="G28" s="68"/>
    </row>
    <row r="29" spans="1:7" x14ac:dyDescent="0.25">
      <c r="A29" s="10"/>
      <c r="D29" s="110"/>
      <c r="E29" s="111">
        <f t="shared" si="1"/>
        <v>0</v>
      </c>
      <c r="F29" s="65" t="s">
        <v>87</v>
      </c>
      <c r="G29" s="68"/>
    </row>
    <row r="30" spans="1:7" x14ac:dyDescent="0.25">
      <c r="A30" s="10"/>
      <c r="D30" s="18">
        <f>SUM(D23:D29)</f>
        <v>1325100.5026911618</v>
      </c>
      <c r="E30" s="19">
        <f>SUM(E23:E29)</f>
        <v>3.7838283794888447E-2</v>
      </c>
      <c r="F30" t="s">
        <v>183</v>
      </c>
      <c r="G30" s="118"/>
    </row>
    <row r="31" spans="1:7" x14ac:dyDescent="0.25">
      <c r="A31" s="10"/>
      <c r="D31" s="18"/>
      <c r="E31" s="19"/>
      <c r="G31" s="118"/>
    </row>
    <row r="32" spans="1:7" x14ac:dyDescent="0.25">
      <c r="A32" s="10"/>
      <c r="D32" t="s">
        <v>130</v>
      </c>
      <c r="E32" s="19"/>
    </row>
    <row r="33" spans="1:7" x14ac:dyDescent="0.25">
      <c r="A33" s="20"/>
      <c r="D33" s="108"/>
      <c r="E33" s="109">
        <f>IF(D33&gt;0,D33/$D$37,0)</f>
        <v>0</v>
      </c>
      <c r="F33" s="61" t="s">
        <v>91</v>
      </c>
    </row>
    <row r="34" spans="1:7" x14ac:dyDescent="0.25">
      <c r="A34" s="20"/>
      <c r="D34" s="108">
        <f>D20+D30</f>
        <v>36345201.040923536</v>
      </c>
      <c r="E34" s="109">
        <f>IF(D34&gt;0,D34/$D$37,0)</f>
        <v>1</v>
      </c>
      <c r="F34" s="61" t="s">
        <v>92</v>
      </c>
    </row>
    <row r="35" spans="1:7" x14ac:dyDescent="0.25">
      <c r="A35" s="20"/>
      <c r="D35" s="108"/>
      <c r="E35" s="109">
        <f>IF(D35&gt;0,D35/$D$37,0)</f>
        <v>0</v>
      </c>
      <c r="F35" s="61" t="s">
        <v>94</v>
      </c>
    </row>
    <row r="36" spans="1:7" x14ac:dyDescent="0.25">
      <c r="A36" s="20"/>
      <c r="D36" s="110"/>
      <c r="E36" s="111">
        <f>IF(D36&gt;0,D36/$D$37,0)</f>
        <v>0</v>
      </c>
      <c r="F36" s="65" t="s">
        <v>96</v>
      </c>
    </row>
    <row r="37" spans="1:7" ht="14.45" customHeight="1" x14ac:dyDescent="0.25">
      <c r="A37" s="10"/>
      <c r="D37" s="18">
        <f>SUM(D33:D36)</f>
        <v>36345201.040923536</v>
      </c>
      <c r="E37" s="19">
        <f>IF(D37&gt;0,D37/$D$37,0)</f>
        <v>1</v>
      </c>
      <c r="F37" t="s">
        <v>98</v>
      </c>
    </row>
    <row r="38" spans="1:7" x14ac:dyDescent="0.25">
      <c r="A38" s="10"/>
      <c r="D38" s="18">
        <f>SUM(D35:D36)</f>
        <v>0</v>
      </c>
      <c r="E38" s="19">
        <f>SUM(E35:E36)</f>
        <v>0</v>
      </c>
      <c r="F38" t="s">
        <v>113</v>
      </c>
    </row>
    <row r="39" spans="1:7" x14ac:dyDescent="0.25">
      <c r="A39" s="10"/>
      <c r="D39" s="164">
        <f>D20+D30-D37</f>
        <v>0</v>
      </c>
      <c r="E39" s="166">
        <f>D39/(D20+D30)</f>
        <v>0</v>
      </c>
      <c r="F39" s="167" t="s">
        <v>99</v>
      </c>
    </row>
    <row r="40" spans="1:7" x14ac:dyDescent="0.25">
      <c r="A40" s="10"/>
    </row>
    <row r="41" spans="1:7" x14ac:dyDescent="0.25">
      <c r="D41" s="18" t="s">
        <v>12</v>
      </c>
      <c r="E41" s="19"/>
    </row>
    <row r="42" spans="1:7" x14ac:dyDescent="0.25">
      <c r="C42" s="19"/>
      <c r="D42" s="112">
        <f>D$9*E42</f>
        <v>0</v>
      </c>
      <c r="E42" s="109">
        <v>0</v>
      </c>
      <c r="F42" s="61" t="s">
        <v>303</v>
      </c>
      <c r="G42" s="251" t="s">
        <v>304</v>
      </c>
    </row>
    <row r="43" spans="1:7" x14ac:dyDescent="0.25">
      <c r="C43" s="19"/>
      <c r="D43" s="112">
        <f>D$9*E43</f>
        <v>2369.8185787428761</v>
      </c>
      <c r="E43" s="109">
        <f>MIN(D30/(D20+D30),1-E42)</f>
        <v>3.6458747365275018E-2</v>
      </c>
      <c r="F43" s="61" t="s">
        <v>184</v>
      </c>
    </row>
    <row r="44" spans="1:7" x14ac:dyDescent="0.25">
      <c r="C44" s="19"/>
      <c r="D44" s="112">
        <f>D$9*E44</f>
        <v>9941.2986382947838</v>
      </c>
      <c r="E44" s="206">
        <f>(D5*(1-E42-E43)/(D5+D10+MIN(D6,D8)))</f>
        <v>0.1529430559737659</v>
      </c>
      <c r="F44" s="61" t="s">
        <v>13</v>
      </c>
    </row>
    <row r="45" spans="1:7" x14ac:dyDescent="0.25">
      <c r="C45" s="19"/>
      <c r="D45" s="112">
        <f>D$6*E45</f>
        <v>8411.868078557125</v>
      </c>
      <c r="E45" s="206">
        <f>(MIN(D6,D8)*(1-E42-E43)/(D5+D10+MIN(D6,D8)))</f>
        <v>0.1529430559737659</v>
      </c>
      <c r="F45" s="61" t="s">
        <v>48</v>
      </c>
    </row>
    <row r="46" spans="1:7" x14ac:dyDescent="0.25">
      <c r="C46" s="19"/>
      <c r="D46" s="113">
        <f>D$9*E46</f>
        <v>42747.584144667562</v>
      </c>
      <c r="E46" s="236">
        <f>(D10*(1-E42-E43))/(D5+D10+MIN(D6,D8))</f>
        <v>0.65765514068719322</v>
      </c>
      <c r="F46" s="65" t="s">
        <v>56</v>
      </c>
    </row>
    <row r="47" spans="1:7" x14ac:dyDescent="0.25">
      <c r="C47" s="19"/>
      <c r="D47" s="18">
        <f>SUM(D42:D46)</f>
        <v>63470.569440262349</v>
      </c>
      <c r="E47" s="19">
        <f>SUM(E42:E46)</f>
        <v>1</v>
      </c>
      <c r="F47" t="s">
        <v>105</v>
      </c>
    </row>
    <row r="48" spans="1:7" x14ac:dyDescent="0.25">
      <c r="C48" s="19"/>
      <c r="D48" s="21"/>
      <c r="E48" s="19"/>
    </row>
    <row r="49" spans="3:6" x14ac:dyDescent="0.25">
      <c r="C49" s="19" t="s">
        <v>314</v>
      </c>
      <c r="D49" s="21"/>
      <c r="E49" s="19"/>
    </row>
    <row r="50" spans="3:6" x14ac:dyDescent="0.25">
      <c r="C50" s="19"/>
      <c r="D50" s="21"/>
      <c r="E50" s="19"/>
    </row>
    <row r="51" spans="3:6" ht="30" x14ac:dyDescent="0.25">
      <c r="C51" s="21"/>
      <c r="D51" s="216" t="s">
        <v>242</v>
      </c>
      <c r="E51" s="217" t="s">
        <v>243</v>
      </c>
      <c r="F51" s="218" t="s">
        <v>238</v>
      </c>
    </row>
    <row r="52" spans="3:6" x14ac:dyDescent="0.25">
      <c r="C52" s="228" t="s">
        <v>239</v>
      </c>
      <c r="D52" s="219">
        <v>20344.7</v>
      </c>
      <c r="E52" s="220">
        <v>787</v>
      </c>
      <c r="F52" s="221">
        <f>D52/E52</f>
        <v>25.850952986022872</v>
      </c>
    </row>
    <row r="53" spans="3:6" ht="15.75" thickBot="1" x14ac:dyDescent="0.3">
      <c r="C53" s="229" t="s">
        <v>240</v>
      </c>
      <c r="D53" s="225">
        <v>8485.2000000000007</v>
      </c>
      <c r="E53" s="226">
        <v>415</v>
      </c>
      <c r="F53" s="227">
        <f>D53/E53</f>
        <v>20.446265060240965</v>
      </c>
    </row>
    <row r="54" spans="3:6" x14ac:dyDescent="0.25">
      <c r="C54" s="230" t="s">
        <v>241</v>
      </c>
      <c r="D54" s="222">
        <f>SUM(D52:D53)</f>
        <v>28829.9</v>
      </c>
      <c r="E54" s="223">
        <f>SUM(E52:E53)</f>
        <v>1202</v>
      </c>
      <c r="F54" s="224">
        <f>D54/E54</f>
        <v>23.984941763727122</v>
      </c>
    </row>
    <row r="55" spans="3:6" x14ac:dyDescent="0.25">
      <c r="C55" s="19"/>
      <c r="D55" s="21"/>
      <c r="E55" s="19"/>
    </row>
    <row r="56" spans="3:6" x14ac:dyDescent="0.25">
      <c r="C56" t="s">
        <v>249</v>
      </c>
    </row>
    <row r="57" spans="3:6" x14ac:dyDescent="0.25">
      <c r="C57" t="s">
        <v>236</v>
      </c>
    </row>
    <row r="58" spans="3:6" x14ac:dyDescent="0.25">
      <c r="C58" s="183" t="s">
        <v>223</v>
      </c>
    </row>
    <row r="59" spans="3:6" x14ac:dyDescent="0.25">
      <c r="C59" s="19"/>
      <c r="D59" s="183"/>
    </row>
    <row r="60" spans="3:6" x14ac:dyDescent="0.25">
      <c r="C60" s="19"/>
      <c r="D60" s="187">
        <v>2000</v>
      </c>
      <c r="E60" s="2" t="s">
        <v>305</v>
      </c>
    </row>
    <row r="61" spans="3:6" x14ac:dyDescent="0.25">
      <c r="C61" s="19"/>
      <c r="D61" s="189">
        <v>2500</v>
      </c>
      <c r="E61" s="171" t="s">
        <v>306</v>
      </c>
      <c r="F61" s="185"/>
    </row>
    <row r="62" spans="3:6" x14ac:dyDescent="0.25">
      <c r="C62" s="19"/>
      <c r="D62" s="202">
        <f>D61-D60</f>
        <v>500</v>
      </c>
      <c r="E62" s="2" t="s">
        <v>248</v>
      </c>
    </row>
    <row r="63" spans="3:6" x14ac:dyDescent="0.25">
      <c r="C63" s="19"/>
      <c r="D63" s="18"/>
    </row>
    <row r="64" spans="3:6" x14ac:dyDescent="0.25">
      <c r="C64" s="19"/>
      <c r="D64" s="187">
        <v>350</v>
      </c>
      <c r="E64" s="2" t="s">
        <v>244</v>
      </c>
    </row>
    <row r="65" spans="3:6" x14ac:dyDescent="0.25">
      <c r="C65" s="19"/>
      <c r="D65" s="189">
        <v>600</v>
      </c>
      <c r="E65" s="171" t="s">
        <v>245</v>
      </c>
      <c r="F65" s="185"/>
    </row>
    <row r="66" spans="3:6" x14ac:dyDescent="0.25">
      <c r="C66" s="19"/>
      <c r="D66" s="172">
        <f>SUM(D64:D65)</f>
        <v>950</v>
      </c>
      <c r="E66" s="2" t="s">
        <v>246</v>
      </c>
    </row>
    <row r="67" spans="3:6" x14ac:dyDescent="0.25">
      <c r="C67" s="19"/>
      <c r="D67" s="174"/>
      <c r="E67" s="55"/>
      <c r="F67" s="10"/>
    </row>
    <row r="68" spans="3:6" ht="30" x14ac:dyDescent="0.25">
      <c r="C68" s="21"/>
      <c r="D68" s="216" t="s">
        <v>242</v>
      </c>
      <c r="E68" s="217" t="s">
        <v>243</v>
      </c>
      <c r="F68" s="218" t="s">
        <v>247</v>
      </c>
    </row>
    <row r="69" spans="3:6" x14ac:dyDescent="0.25">
      <c r="C69" s="228" t="s">
        <v>239</v>
      </c>
      <c r="D69" s="233">
        <f>D52+(D62*D64/(D64+D65/2)*15)</f>
        <v>24383.16153846154</v>
      </c>
      <c r="E69" s="231">
        <f>D64+E52</f>
        <v>1137</v>
      </c>
      <c r="F69" s="221">
        <f>D69/E69</f>
        <v>21.445172857046209</v>
      </c>
    </row>
    <row r="70" spans="3:6" ht="15.75" thickBot="1" x14ac:dyDescent="0.3">
      <c r="C70" s="229" t="s">
        <v>240</v>
      </c>
      <c r="D70" s="234">
        <f>D53+(D62*(D65/2)/(D64+D65/2)*30)</f>
        <v>15408.276923076923</v>
      </c>
      <c r="E70" s="232">
        <f>D65+E53</f>
        <v>1015</v>
      </c>
      <c r="F70" s="227">
        <f>D70/E70</f>
        <v>15.180568397120121</v>
      </c>
    </row>
    <row r="71" spans="3:6" x14ac:dyDescent="0.25">
      <c r="C71" s="230" t="s">
        <v>241</v>
      </c>
      <c r="D71" s="222">
        <f>SUM(D69:D70)</f>
        <v>39791.438461538462</v>
      </c>
      <c r="E71" s="223">
        <f>SUM(E69:E70)</f>
        <v>2152</v>
      </c>
      <c r="F71" s="224">
        <f>D71/E71</f>
        <v>18.490445381755791</v>
      </c>
    </row>
    <row r="72" spans="3:6" x14ac:dyDescent="0.25">
      <c r="C72" s="19"/>
      <c r="D72" s="21"/>
      <c r="E72" s="19"/>
    </row>
    <row r="73" spans="3:6" x14ac:dyDescent="0.25">
      <c r="C73" t="s">
        <v>161</v>
      </c>
      <c r="D73" s="21"/>
      <c r="E73" s="19"/>
    </row>
    <row r="74" spans="3:6" x14ac:dyDescent="0.25">
      <c r="C74" s="183" t="s">
        <v>237</v>
      </c>
      <c r="E74" s="19"/>
      <c r="F74" s="183"/>
    </row>
    <row r="75" spans="3:6" x14ac:dyDescent="0.25">
      <c r="D75" s="21"/>
      <c r="E75" s="19"/>
      <c r="F75" s="183"/>
    </row>
    <row r="76" spans="3:6" x14ac:dyDescent="0.25">
      <c r="C76" t="s">
        <v>164</v>
      </c>
      <c r="D76" s="19"/>
    </row>
    <row r="77" spans="3:6" x14ac:dyDescent="0.25">
      <c r="C77" s="191" t="s">
        <v>154</v>
      </c>
      <c r="D77" s="191" t="s">
        <v>157</v>
      </c>
      <c r="E77" s="171" t="s">
        <v>158</v>
      </c>
      <c r="F77" s="185" t="s">
        <v>156</v>
      </c>
    </row>
    <row r="78" spans="3:6" x14ac:dyDescent="0.25">
      <c r="C78" s="182">
        <v>1</v>
      </c>
      <c r="D78" s="187">
        <v>10000</v>
      </c>
      <c r="E78" s="188">
        <v>1970</v>
      </c>
      <c r="F78" s="194"/>
    </row>
    <row r="79" spans="3:6" x14ac:dyDescent="0.25">
      <c r="C79" s="182">
        <v>2</v>
      </c>
      <c r="D79" s="187">
        <v>0</v>
      </c>
      <c r="E79" s="188">
        <v>0</v>
      </c>
      <c r="F79" s="194"/>
    </row>
    <row r="80" spans="3:6" x14ac:dyDescent="0.25">
      <c r="C80" s="182">
        <v>3</v>
      </c>
      <c r="D80" s="187">
        <v>0</v>
      </c>
      <c r="E80" s="188">
        <v>0</v>
      </c>
      <c r="F80" s="194"/>
    </row>
    <row r="81" spans="3:6" x14ac:dyDescent="0.25">
      <c r="C81" s="182">
        <v>4</v>
      </c>
      <c r="D81" s="187">
        <v>0</v>
      </c>
      <c r="E81" s="188">
        <v>0</v>
      </c>
      <c r="F81" s="194"/>
    </row>
    <row r="82" spans="3:6" x14ac:dyDescent="0.25">
      <c r="C82" s="182">
        <v>5</v>
      </c>
      <c r="D82" s="187">
        <v>0</v>
      </c>
      <c r="E82" s="188">
        <v>0</v>
      </c>
      <c r="F82" s="194"/>
    </row>
    <row r="83" spans="3:6" x14ac:dyDescent="0.25">
      <c r="C83" s="184">
        <v>6</v>
      </c>
      <c r="D83" s="189">
        <v>0</v>
      </c>
      <c r="E83" s="190">
        <v>0</v>
      </c>
      <c r="F83" s="195"/>
    </row>
    <row r="84" spans="3:6" x14ac:dyDescent="0.25">
      <c r="C84" s="182"/>
      <c r="D84" s="186">
        <f>SUM(D78:D83)</f>
        <v>10000</v>
      </c>
      <c r="E84" s="181">
        <f>IF(D84&gt;0,ROUND((E78*D78+E79*D79+E80*D80+E81*D81+E82*D82+E83*D83)/D84,0),0)</f>
        <v>1970</v>
      </c>
      <c r="F84" t="s">
        <v>159</v>
      </c>
    </row>
    <row r="85" spans="3:6" x14ac:dyDescent="0.25">
      <c r="C85" s="182"/>
      <c r="D85" s="2"/>
      <c r="E85" s="171">
        <v>2023</v>
      </c>
      <c r="F85" s="171" t="s">
        <v>155</v>
      </c>
    </row>
    <row r="86" spans="3:6" x14ac:dyDescent="0.25">
      <c r="C86" s="182"/>
      <c r="D86" s="2"/>
      <c r="E86" s="204">
        <f>IF(D84&gt;0,E85-E84,0)</f>
        <v>53</v>
      </c>
      <c r="F86" s="203" t="s">
        <v>235</v>
      </c>
    </row>
    <row r="87" spans="3:6" x14ac:dyDescent="0.25">
      <c r="C87" s="181"/>
      <c r="D87" s="55"/>
      <c r="E87" s="55"/>
      <c r="F87" s="55"/>
    </row>
    <row r="88" spans="3:6" x14ac:dyDescent="0.25">
      <c r="C88" t="s">
        <v>165</v>
      </c>
      <c r="D88" s="55"/>
      <c r="E88" s="55"/>
      <c r="F88" s="55"/>
    </row>
    <row r="89" spans="3:6" x14ac:dyDescent="0.25">
      <c r="C89" s="191" t="s">
        <v>154</v>
      </c>
      <c r="D89" s="191" t="s">
        <v>157</v>
      </c>
      <c r="E89" s="171" t="s">
        <v>294</v>
      </c>
      <c r="F89" s="185" t="s">
        <v>156</v>
      </c>
    </row>
    <row r="90" spans="3:6" x14ac:dyDescent="0.25">
      <c r="C90" s="182">
        <v>1</v>
      </c>
      <c r="D90" s="176">
        <f>D78</f>
        <v>10000</v>
      </c>
      <c r="E90" s="188">
        <v>350</v>
      </c>
      <c r="F90" s="196">
        <f>F$78</f>
        <v>0</v>
      </c>
    </row>
    <row r="91" spans="3:6" x14ac:dyDescent="0.25">
      <c r="C91" s="182">
        <v>2</v>
      </c>
      <c r="D91" s="176">
        <f t="shared" ref="D91:D95" si="2">D79</f>
        <v>0</v>
      </c>
      <c r="E91" s="188">
        <v>0</v>
      </c>
      <c r="F91" s="196">
        <f>F$79</f>
        <v>0</v>
      </c>
    </row>
    <row r="92" spans="3:6" x14ac:dyDescent="0.25">
      <c r="C92" s="182">
        <v>3</v>
      </c>
      <c r="D92" s="176">
        <f t="shared" si="2"/>
        <v>0</v>
      </c>
      <c r="E92" s="188">
        <v>0</v>
      </c>
      <c r="F92" s="196">
        <f>F$80</f>
        <v>0</v>
      </c>
    </row>
    <row r="93" spans="3:6" x14ac:dyDescent="0.25">
      <c r="C93" s="182">
        <v>4</v>
      </c>
      <c r="D93" s="176">
        <f t="shared" si="2"/>
        <v>0</v>
      </c>
      <c r="E93" s="188">
        <v>0</v>
      </c>
      <c r="F93" s="196">
        <f>F$81</f>
        <v>0</v>
      </c>
    </row>
    <row r="94" spans="3:6" x14ac:dyDescent="0.25">
      <c r="C94" s="182">
        <v>5</v>
      </c>
      <c r="D94" s="176">
        <f t="shared" si="2"/>
        <v>0</v>
      </c>
      <c r="E94" s="188">
        <v>0</v>
      </c>
      <c r="F94" s="196">
        <f>F$82</f>
        <v>0</v>
      </c>
    </row>
    <row r="95" spans="3:6" x14ac:dyDescent="0.25">
      <c r="C95" s="184">
        <v>6</v>
      </c>
      <c r="D95" s="177">
        <f t="shared" si="2"/>
        <v>0</v>
      </c>
      <c r="E95" s="190">
        <v>0</v>
      </c>
      <c r="F95" s="197">
        <f>F$83</f>
        <v>0</v>
      </c>
    </row>
    <row r="96" spans="3:6" x14ac:dyDescent="0.25">
      <c r="C96" s="182"/>
      <c r="D96" s="186">
        <f>SUM(D90:D95)</f>
        <v>10000</v>
      </c>
      <c r="E96" s="204">
        <f>IF(D96&gt;0,ROUND((E90*D90+E91*D91+E92*D92+E93*D93+E94*D94+E95*D95)/D96,0),0)</f>
        <v>350</v>
      </c>
      <c r="F96" s="203" t="s">
        <v>234</v>
      </c>
    </row>
    <row r="97" spans="3:6" x14ac:dyDescent="0.25">
      <c r="D97" s="2"/>
      <c r="E97" s="2"/>
      <c r="F97" s="2"/>
    </row>
    <row r="98" spans="3:6" x14ac:dyDescent="0.25">
      <c r="C98" t="s">
        <v>232</v>
      </c>
    </row>
    <row r="99" spans="3:6" ht="51" x14ac:dyDescent="0.25">
      <c r="C99" s="191" t="s">
        <v>154</v>
      </c>
      <c r="D99" s="214" t="s">
        <v>318</v>
      </c>
      <c r="E99" s="213" t="s">
        <v>231</v>
      </c>
      <c r="F99" s="185" t="s">
        <v>156</v>
      </c>
    </row>
    <row r="100" spans="3:6" x14ac:dyDescent="0.25">
      <c r="C100" s="182">
        <v>1</v>
      </c>
      <c r="D100" s="188">
        <v>200</v>
      </c>
      <c r="E100" s="210">
        <f>D100*10</f>
        <v>2000</v>
      </c>
      <c r="F100" s="196">
        <f>F$78</f>
        <v>0</v>
      </c>
    </row>
    <row r="101" spans="3:6" x14ac:dyDescent="0.25">
      <c r="C101" s="182">
        <v>2</v>
      </c>
      <c r="D101" s="188">
        <v>0</v>
      </c>
      <c r="E101" s="210">
        <f t="shared" ref="E101:E105" si="3">D101*10</f>
        <v>0</v>
      </c>
      <c r="F101" s="196">
        <f>F$79</f>
        <v>0</v>
      </c>
    </row>
    <row r="102" spans="3:6" x14ac:dyDescent="0.25">
      <c r="C102" s="182">
        <v>3</v>
      </c>
      <c r="D102" s="188">
        <v>0</v>
      </c>
      <c r="E102" s="210">
        <f t="shared" si="3"/>
        <v>0</v>
      </c>
      <c r="F102" s="196">
        <f>F$80</f>
        <v>0</v>
      </c>
    </row>
    <row r="103" spans="3:6" x14ac:dyDescent="0.25">
      <c r="C103" s="182">
        <v>4</v>
      </c>
      <c r="D103" s="188">
        <v>0</v>
      </c>
      <c r="E103" s="210">
        <f t="shared" si="3"/>
        <v>0</v>
      </c>
      <c r="F103" s="196">
        <f>F$81</f>
        <v>0</v>
      </c>
    </row>
    <row r="104" spans="3:6" x14ac:dyDescent="0.25">
      <c r="C104" s="182">
        <v>5</v>
      </c>
      <c r="D104" s="188">
        <v>0</v>
      </c>
      <c r="E104" s="210">
        <f t="shared" si="3"/>
        <v>0</v>
      </c>
      <c r="F104" s="196">
        <f>F$82</f>
        <v>0</v>
      </c>
    </row>
    <row r="105" spans="3:6" x14ac:dyDescent="0.25">
      <c r="C105" s="184">
        <v>6</v>
      </c>
      <c r="D105" s="190">
        <v>0</v>
      </c>
      <c r="E105" s="211">
        <f t="shared" si="3"/>
        <v>0</v>
      </c>
      <c r="F105" s="197">
        <f>F$83</f>
        <v>0</v>
      </c>
    </row>
    <row r="106" spans="3:6" x14ac:dyDescent="0.25">
      <c r="C106" s="182"/>
      <c r="D106" s="186"/>
      <c r="E106" s="212">
        <f>SUM(E100:E105)</f>
        <v>2000</v>
      </c>
      <c r="F106" s="203" t="s">
        <v>233</v>
      </c>
    </row>
    <row r="107" spans="3:6" x14ac:dyDescent="0.25">
      <c r="D107" s="2"/>
      <c r="E107" s="2"/>
      <c r="F107" s="2"/>
    </row>
    <row r="108" spans="3:6" x14ac:dyDescent="0.25">
      <c r="C108" t="s">
        <v>166</v>
      </c>
      <c r="D108" s="19"/>
    </row>
    <row r="109" spans="3:6" x14ac:dyDescent="0.25">
      <c r="C109" s="191" t="s">
        <v>154</v>
      </c>
      <c r="D109" s="191" t="s">
        <v>157</v>
      </c>
      <c r="E109" s="171" t="s">
        <v>158</v>
      </c>
      <c r="F109" s="185" t="s">
        <v>156</v>
      </c>
    </row>
    <row r="110" spans="3:6" x14ac:dyDescent="0.25">
      <c r="C110" s="182">
        <v>1</v>
      </c>
      <c r="D110" s="187">
        <v>10000</v>
      </c>
      <c r="E110" s="188">
        <v>1970</v>
      </c>
      <c r="F110" s="194"/>
    </row>
    <row r="111" spans="3:6" x14ac:dyDescent="0.25">
      <c r="C111" s="182">
        <v>2</v>
      </c>
      <c r="D111" s="187">
        <v>0</v>
      </c>
      <c r="E111" s="188">
        <v>0</v>
      </c>
      <c r="F111" s="198"/>
    </row>
    <row r="112" spans="3:6" x14ac:dyDescent="0.25">
      <c r="C112" s="182">
        <v>3</v>
      </c>
      <c r="D112" s="187">
        <v>0</v>
      </c>
      <c r="E112" s="188">
        <v>0</v>
      </c>
      <c r="F112" s="198"/>
    </row>
    <row r="113" spans="3:6" x14ac:dyDescent="0.25">
      <c r="C113" s="182">
        <v>4</v>
      </c>
      <c r="D113" s="187">
        <v>0</v>
      </c>
      <c r="E113" s="188">
        <v>0</v>
      </c>
      <c r="F113" s="198"/>
    </row>
    <row r="114" spans="3:6" x14ac:dyDescent="0.25">
      <c r="C114" s="182">
        <v>5</v>
      </c>
      <c r="D114" s="187">
        <v>0</v>
      </c>
      <c r="E114" s="188">
        <v>0</v>
      </c>
      <c r="F114" s="198"/>
    </row>
    <row r="115" spans="3:6" x14ac:dyDescent="0.25">
      <c r="C115" s="184">
        <v>6</v>
      </c>
      <c r="D115" s="189">
        <v>0</v>
      </c>
      <c r="E115" s="190">
        <v>0</v>
      </c>
      <c r="F115" s="199"/>
    </row>
    <row r="116" spans="3:6" x14ac:dyDescent="0.25">
      <c r="C116" s="182"/>
      <c r="D116" s="186">
        <f>SUM(D110:D115)</f>
        <v>10000</v>
      </c>
      <c r="E116" s="181">
        <f>IF(D116&gt;0,ROUND((E110*D110+E111*D111+E112*D112+E113*D113+E114*D114+E115*D115)/D116,0),0)</f>
        <v>1970</v>
      </c>
      <c r="F116" t="s">
        <v>160</v>
      </c>
    </row>
    <row r="117" spans="3:6" x14ac:dyDescent="0.25">
      <c r="C117" s="182"/>
      <c r="D117" s="2"/>
      <c r="E117" s="171">
        <v>2023</v>
      </c>
      <c r="F117" s="171" t="s">
        <v>155</v>
      </c>
    </row>
    <row r="118" spans="3:6" x14ac:dyDescent="0.25">
      <c r="C118" s="182"/>
      <c r="D118" s="2"/>
      <c r="E118" s="204">
        <f>IF(D116&gt;0,E117-E116,0)</f>
        <v>53</v>
      </c>
      <c r="F118" s="203" t="s">
        <v>221</v>
      </c>
    </row>
    <row r="119" spans="3:6" x14ac:dyDescent="0.25">
      <c r="C119" s="181"/>
      <c r="D119" s="55"/>
      <c r="E119" s="55"/>
      <c r="F119" s="55"/>
    </row>
    <row r="120" spans="3:6" x14ac:dyDescent="0.25">
      <c r="C120" t="s">
        <v>228</v>
      </c>
      <c r="D120" s="55"/>
      <c r="E120" s="55"/>
      <c r="F120" s="55"/>
    </row>
    <row r="121" spans="3:6" x14ac:dyDescent="0.25">
      <c r="C121" s="191" t="s">
        <v>154</v>
      </c>
      <c r="D121" s="191" t="s">
        <v>157</v>
      </c>
      <c r="E121" s="171" t="s">
        <v>294</v>
      </c>
      <c r="F121" s="185" t="s">
        <v>156</v>
      </c>
    </row>
    <row r="122" spans="3:6" x14ac:dyDescent="0.25">
      <c r="C122" s="182">
        <v>1</v>
      </c>
      <c r="D122" s="176">
        <f>D$110</f>
        <v>10000</v>
      </c>
      <c r="E122" s="188">
        <v>350</v>
      </c>
      <c r="F122" s="196">
        <f>F$110</f>
        <v>0</v>
      </c>
    </row>
    <row r="123" spans="3:6" x14ac:dyDescent="0.25">
      <c r="C123" s="182">
        <v>2</v>
      </c>
      <c r="D123" s="176">
        <f>D$111</f>
        <v>0</v>
      </c>
      <c r="E123" s="188">
        <v>0</v>
      </c>
      <c r="F123" s="196">
        <f>F$111</f>
        <v>0</v>
      </c>
    </row>
    <row r="124" spans="3:6" x14ac:dyDescent="0.25">
      <c r="C124" s="182">
        <v>3</v>
      </c>
      <c r="D124" s="176">
        <f>D$112</f>
        <v>0</v>
      </c>
      <c r="E124" s="188">
        <v>0</v>
      </c>
      <c r="F124" s="196">
        <f>F$112</f>
        <v>0</v>
      </c>
    </row>
    <row r="125" spans="3:6" x14ac:dyDescent="0.25">
      <c r="C125" s="182">
        <v>4</v>
      </c>
      <c r="D125" s="176">
        <f>D$113</f>
        <v>0</v>
      </c>
      <c r="E125" s="188">
        <v>0</v>
      </c>
      <c r="F125" s="196">
        <f>F$113</f>
        <v>0</v>
      </c>
    </row>
    <row r="126" spans="3:6" x14ac:dyDescent="0.25">
      <c r="C126" s="182">
        <v>5</v>
      </c>
      <c r="D126" s="176">
        <f>D$114</f>
        <v>0</v>
      </c>
      <c r="E126" s="188">
        <v>0</v>
      </c>
      <c r="F126" s="196">
        <f>F$114</f>
        <v>0</v>
      </c>
    </row>
    <row r="127" spans="3:6" x14ac:dyDescent="0.25">
      <c r="C127" s="184">
        <v>6</v>
      </c>
      <c r="D127" s="177">
        <f>D$115</f>
        <v>0</v>
      </c>
      <c r="E127" s="190">
        <v>0</v>
      </c>
      <c r="F127" s="197">
        <f>F$115</f>
        <v>0</v>
      </c>
    </row>
    <row r="128" spans="3:6" x14ac:dyDescent="0.25">
      <c r="C128" s="182"/>
      <c r="D128" s="186">
        <f>SUM(D122:D127)</f>
        <v>10000</v>
      </c>
      <c r="E128" s="204">
        <f>IF(D128&gt;0,ROUND((E122*D122+E123*D123+E124*D124+E125*D125+E126*D126+E127*D127)/D128,0),0)</f>
        <v>350</v>
      </c>
      <c r="F128" s="203" t="s">
        <v>266</v>
      </c>
    </row>
    <row r="130" spans="3:6" x14ac:dyDescent="0.25">
      <c r="C130" t="s">
        <v>229</v>
      </c>
    </row>
    <row r="131" spans="3:6" ht="51" x14ac:dyDescent="0.25">
      <c r="C131" s="191" t="s">
        <v>154</v>
      </c>
      <c r="D131" s="214" t="s">
        <v>318</v>
      </c>
      <c r="E131" s="213" t="s">
        <v>231</v>
      </c>
      <c r="F131" s="185" t="s">
        <v>156</v>
      </c>
    </row>
    <row r="132" spans="3:6" x14ac:dyDescent="0.25">
      <c r="C132" s="182">
        <v>1</v>
      </c>
      <c r="D132" s="188">
        <v>0</v>
      </c>
      <c r="E132" s="210">
        <f>D132*10</f>
        <v>0</v>
      </c>
      <c r="F132" s="196">
        <f>F$110</f>
        <v>0</v>
      </c>
    </row>
    <row r="133" spans="3:6" x14ac:dyDescent="0.25">
      <c r="C133" s="182">
        <v>2</v>
      </c>
      <c r="D133" s="188">
        <v>0</v>
      </c>
      <c r="E133" s="210">
        <f t="shared" ref="E133:E137" si="4">D133*10</f>
        <v>0</v>
      </c>
      <c r="F133" s="196">
        <f>F$111</f>
        <v>0</v>
      </c>
    </row>
    <row r="134" spans="3:6" x14ac:dyDescent="0.25">
      <c r="C134" s="182">
        <v>3</v>
      </c>
      <c r="D134" s="188">
        <v>0</v>
      </c>
      <c r="E134" s="210">
        <f t="shared" si="4"/>
        <v>0</v>
      </c>
      <c r="F134" s="196">
        <f>F$112</f>
        <v>0</v>
      </c>
    </row>
    <row r="135" spans="3:6" x14ac:dyDescent="0.25">
      <c r="C135" s="182">
        <v>4</v>
      </c>
      <c r="D135" s="188">
        <v>0</v>
      </c>
      <c r="E135" s="210">
        <f t="shared" si="4"/>
        <v>0</v>
      </c>
      <c r="F135" s="196">
        <f>F$113</f>
        <v>0</v>
      </c>
    </row>
    <row r="136" spans="3:6" x14ac:dyDescent="0.25">
      <c r="C136" s="182">
        <v>5</v>
      </c>
      <c r="D136" s="188">
        <v>0</v>
      </c>
      <c r="E136" s="210">
        <f t="shared" si="4"/>
        <v>0</v>
      </c>
      <c r="F136" s="196">
        <f>F$114</f>
        <v>0</v>
      </c>
    </row>
    <row r="137" spans="3:6" x14ac:dyDescent="0.25">
      <c r="C137" s="184">
        <v>6</v>
      </c>
      <c r="D137" s="190">
        <v>0</v>
      </c>
      <c r="E137" s="211">
        <f t="shared" si="4"/>
        <v>0</v>
      </c>
      <c r="F137" s="197">
        <f>F$115</f>
        <v>0</v>
      </c>
    </row>
    <row r="138" spans="3:6" x14ac:dyDescent="0.25">
      <c r="C138" s="182"/>
      <c r="D138" s="186"/>
      <c r="E138" s="212">
        <f>SUM(E132:E137)</f>
        <v>0</v>
      </c>
      <c r="F138" s="203" t="s">
        <v>230</v>
      </c>
    </row>
  </sheetData>
  <mergeCells count="2">
    <mergeCell ref="G5:G9"/>
    <mergeCell ref="G19:G21"/>
  </mergeCells>
  <conditionalFormatting sqref="E39:F39">
    <cfRule type="expression" dxfId="14" priority="1">
      <formula>$D$39&lt;&gt;0</formula>
    </cfRule>
  </conditionalFormatting>
  <hyperlinks>
    <hyperlink ref="C58" r:id="rId1" xr:uid="{00000000-0004-0000-0100-000000000000}"/>
    <hyperlink ref="C74" r:id="rId2" xr:uid="{00000000-0004-0000-0100-000001000000}"/>
  </hyperlinks>
  <pageMargins left="0.7" right="0.7" top="0.5" bottom="0.5" header="0.3" footer="0.3"/>
  <pageSetup orientation="portrait" r:id="rId3"/>
  <headerFooter>
    <oddFooter>Page &amp;P of &amp;N</oddFooter>
  </headerFooter>
  <rowBreaks count="4" manualBreakCount="4">
    <brk id="48" min="2" max="5" man="1"/>
    <brk id="55" min="2" max="5" man="1"/>
    <brk id="72" min="2" max="5" man="1"/>
    <brk id="107" min="2" max="5" man="1"/>
  </rowBreaks>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pageSetUpPr fitToPage="1"/>
  </sheetPr>
  <dimension ref="B2:L54"/>
  <sheetViews>
    <sheetView showGridLines="0" workbookViewId="0">
      <selection activeCell="B2" sqref="B2"/>
    </sheetView>
  </sheetViews>
  <sheetFormatPr defaultColWidth="8.85546875" defaultRowHeight="15" x14ac:dyDescent="0.25"/>
  <cols>
    <col min="1" max="1" width="8.85546875" style="120"/>
    <col min="2" max="2" width="32.28515625" style="119" customWidth="1"/>
    <col min="3" max="4" width="14" style="120" customWidth="1"/>
    <col min="5" max="5" width="11.5703125" style="120" bestFit="1" customWidth="1"/>
    <col min="6" max="6" width="14.7109375" style="120" bestFit="1" customWidth="1"/>
    <col min="7" max="7" width="11.7109375" style="120" customWidth="1"/>
    <col min="8" max="8" width="14.7109375" style="120" customWidth="1"/>
    <col min="9" max="16384" width="8.85546875" style="120"/>
  </cols>
  <sheetData>
    <row r="2" spans="2:12" x14ac:dyDescent="0.25">
      <c r="B2" s="141" t="s">
        <v>131</v>
      </c>
    </row>
    <row r="3" spans="2:12" x14ac:dyDescent="0.25">
      <c r="D3" s="201" t="s">
        <v>162</v>
      </c>
      <c r="E3" s="201" t="s">
        <v>163</v>
      </c>
    </row>
    <row r="4" spans="2:12" x14ac:dyDescent="0.25">
      <c r="B4" s="121" t="s">
        <v>121</v>
      </c>
      <c r="C4" s="200">
        <f>AVERAGE(D4,E4)</f>
        <v>46204</v>
      </c>
      <c r="D4" s="135">
        <v>45839</v>
      </c>
      <c r="E4" s="135">
        <v>46569</v>
      </c>
      <c r="F4" s="120" t="s">
        <v>297</v>
      </c>
    </row>
    <row r="5" spans="2:12" x14ac:dyDescent="0.25">
      <c r="B5" s="119" t="s">
        <v>122</v>
      </c>
      <c r="C5" s="243">
        <f>VLOOKUP(C4,B29:C54,2)</f>
        <v>1.1751151953795576</v>
      </c>
      <c r="D5" s="120" t="s">
        <v>123</v>
      </c>
    </row>
    <row r="6" spans="2:12" x14ac:dyDescent="0.25">
      <c r="B6" s="119" t="s">
        <v>124</v>
      </c>
      <c r="C6" s="18">
        <f>SUM('My Project'!D5,'My Project'!D6)</f>
        <v>65000</v>
      </c>
      <c r="D6" s="120" t="s">
        <v>313</v>
      </c>
    </row>
    <row r="7" spans="2:12" x14ac:dyDescent="0.25">
      <c r="B7" s="119" t="s">
        <v>296</v>
      </c>
      <c r="C7" s="249">
        <v>45000</v>
      </c>
      <c r="D7" s="120" t="s">
        <v>299</v>
      </c>
    </row>
    <row r="8" spans="2:12" x14ac:dyDescent="0.25">
      <c r="B8" s="119" t="s">
        <v>298</v>
      </c>
      <c r="C8" s="252">
        <v>1.0935999999999999</v>
      </c>
      <c r="D8" s="120" t="s">
        <v>300</v>
      </c>
    </row>
    <row r="9" spans="2:12" x14ac:dyDescent="0.25">
      <c r="B9" s="119" t="s">
        <v>301</v>
      </c>
      <c r="C9" s="253">
        <v>0.05</v>
      </c>
      <c r="D9" s="120" t="s">
        <v>302</v>
      </c>
    </row>
    <row r="10" spans="2:12" x14ac:dyDescent="0.25">
      <c r="C10" s="18"/>
    </row>
    <row r="11" spans="2:12" ht="30" x14ac:dyDescent="0.25">
      <c r="B11" s="122" t="s">
        <v>283</v>
      </c>
      <c r="C11" s="123" t="s">
        <v>322</v>
      </c>
      <c r="D11" s="123" t="s">
        <v>125</v>
      </c>
      <c r="E11" s="123" t="s">
        <v>126</v>
      </c>
      <c r="F11" s="123" t="s">
        <v>127</v>
      </c>
      <c r="G11" s="124" t="s">
        <v>128</v>
      </c>
      <c r="H11" s="124" t="s">
        <v>112</v>
      </c>
    </row>
    <row r="12" spans="2:12" x14ac:dyDescent="0.25">
      <c r="B12" s="125" t="s">
        <v>284</v>
      </c>
      <c r="C12" s="126">
        <v>502.21434818889082</v>
      </c>
      <c r="D12" s="127">
        <f>C12*C$5</f>
        <v>590.15971189440563</v>
      </c>
      <c r="E12" s="136">
        <v>39000</v>
      </c>
      <c r="F12" s="128">
        <f t="shared" ref="F12:F18" si="0">E12*D12</f>
        <v>23016228.763881821</v>
      </c>
      <c r="G12" s="129"/>
      <c r="H12" s="129"/>
      <c r="K12" s="264"/>
      <c r="L12" s="265"/>
    </row>
    <row r="13" spans="2:12" x14ac:dyDescent="0.25">
      <c r="B13" s="125" t="s">
        <v>285</v>
      </c>
      <c r="C13" s="126">
        <v>536.79910453743571</v>
      </c>
      <c r="D13" s="127">
        <f t="shared" ref="D13:D18" si="1">C13*C$5</f>
        <v>630.80078460808033</v>
      </c>
      <c r="E13" s="136">
        <v>0</v>
      </c>
      <c r="F13" s="128">
        <f t="shared" si="0"/>
        <v>0</v>
      </c>
      <c r="G13" s="45"/>
      <c r="H13" s="45"/>
      <c r="K13" s="264"/>
      <c r="L13" s="265"/>
    </row>
    <row r="14" spans="2:12" x14ac:dyDescent="0.25">
      <c r="B14" s="125" t="s">
        <v>286</v>
      </c>
      <c r="C14" s="126">
        <v>498.16611144577695</v>
      </c>
      <c r="D14" s="127">
        <f t="shared" ref="D14" si="2">C14*C$5</f>
        <v>585.40256738307858</v>
      </c>
      <c r="E14" s="136">
        <v>13000</v>
      </c>
      <c r="F14" s="128">
        <f t="shared" ref="F14" si="3">E14*D14</f>
        <v>7610233.3759800214</v>
      </c>
      <c r="G14" s="45"/>
      <c r="H14" s="45"/>
      <c r="K14" s="264"/>
      <c r="L14" s="265"/>
    </row>
    <row r="15" spans="2:12" x14ac:dyDescent="0.25">
      <c r="B15" s="125" t="s">
        <v>287</v>
      </c>
      <c r="C15" s="126">
        <v>483.34199272459011</v>
      </c>
      <c r="D15" s="127">
        <f t="shared" si="1"/>
        <v>567.98252021570136</v>
      </c>
      <c r="E15" s="136">
        <v>0</v>
      </c>
      <c r="F15" s="128">
        <f t="shared" si="0"/>
        <v>0</v>
      </c>
      <c r="G15" s="45"/>
      <c r="H15" s="45"/>
      <c r="K15" s="264"/>
      <c r="L15" s="265"/>
    </row>
    <row r="16" spans="2:12" x14ac:dyDescent="0.25">
      <c r="B16" s="125" t="s">
        <v>288</v>
      </c>
      <c r="C16" s="126">
        <v>404.60524427129241</v>
      </c>
      <c r="D16" s="127">
        <f t="shared" ref="D16" si="4">C16*C$5</f>
        <v>475.45777067345341</v>
      </c>
      <c r="E16" s="136">
        <v>13000</v>
      </c>
      <c r="F16" s="128">
        <f t="shared" ref="F16" si="5">E16*D16</f>
        <v>6180951.0187548939</v>
      </c>
      <c r="G16" s="45"/>
      <c r="H16" s="45"/>
      <c r="K16" s="264"/>
      <c r="L16" s="265"/>
    </row>
    <row r="17" spans="2:12" x14ac:dyDescent="0.25">
      <c r="B17" s="125" t="s">
        <v>289</v>
      </c>
      <c r="C17" s="126">
        <v>641.09216768197393</v>
      </c>
      <c r="D17" s="127">
        <f t="shared" si="1"/>
        <v>753.35714788190683</v>
      </c>
      <c r="E17" s="136">
        <v>0</v>
      </c>
      <c r="F17" s="128">
        <f t="shared" si="0"/>
        <v>0</v>
      </c>
      <c r="G17" s="45"/>
      <c r="H17" s="45"/>
      <c r="K17" s="264"/>
      <c r="L17" s="265"/>
    </row>
    <row r="18" spans="2:12" ht="15.75" thickBot="1" x14ac:dyDescent="0.3">
      <c r="B18" s="125" t="s">
        <v>290</v>
      </c>
      <c r="C18" s="126">
        <v>507.19455310308132</v>
      </c>
      <c r="D18" s="127">
        <f t="shared" si="1"/>
        <v>596.01202636517473</v>
      </c>
      <c r="E18" s="137">
        <v>0</v>
      </c>
      <c r="F18" s="130">
        <f t="shared" si="0"/>
        <v>0</v>
      </c>
      <c r="G18" s="131"/>
      <c r="H18" s="131"/>
      <c r="K18" s="264"/>
      <c r="L18" s="265"/>
    </row>
    <row r="19" spans="2:12" ht="15.75" thickTop="1" x14ac:dyDescent="0.25">
      <c r="B19" s="245"/>
      <c r="C19" s="246"/>
      <c r="D19" s="247"/>
      <c r="E19" s="250" t="s">
        <v>307</v>
      </c>
      <c r="F19" s="248">
        <f>C7*C8*(1+C9)</f>
        <v>51672.599999999991</v>
      </c>
      <c r="G19" s="131"/>
      <c r="H19" s="131"/>
    </row>
    <row r="20" spans="2:12" x14ac:dyDescent="0.25">
      <c r="E20" s="132">
        <f>SUM(E12:E18)</f>
        <v>65000</v>
      </c>
      <c r="F20" s="133">
        <f>SUM(F12:F19)</f>
        <v>36859085.758616738</v>
      </c>
      <c r="G20" s="142">
        <v>1</v>
      </c>
      <c r="H20" s="144">
        <f>IF('My Project'!$D$20&lt;='Expected Cost'!F20,'My Project'!$D$20,"")</f>
        <v>35020100.538232371</v>
      </c>
    </row>
    <row r="21" spans="2:12" x14ac:dyDescent="0.25">
      <c r="B21" s="270" t="str">
        <f>IF(E21=0,"","Variance - should be zero")</f>
        <v/>
      </c>
      <c r="C21" s="270"/>
      <c r="D21" s="270"/>
      <c r="E21" s="162">
        <f>C6-E20</f>
        <v>0</v>
      </c>
      <c r="F21" s="134">
        <f>G21*F20</f>
        <v>40913585.192064583</v>
      </c>
      <c r="G21" s="143">
        <v>1.1100000000000001</v>
      </c>
      <c r="H21" s="145" t="str">
        <f>IF(AND('My Project'!$D$20&gt;='Expected Cost'!F20,'My Project'!$D$20&lt;'Expected Cost'!F21),'My Project'!$D$20,"")</f>
        <v/>
      </c>
    </row>
    <row r="22" spans="2:12" x14ac:dyDescent="0.25">
      <c r="E22" s="22"/>
      <c r="F22" s="134">
        <f>G22*F20</f>
        <v>50496947.489304937</v>
      </c>
      <c r="G22" s="143">
        <v>1.37</v>
      </c>
      <c r="H22" s="145" t="str">
        <f>IF(AND('My Project'!$D$20&gt;='Expected Cost'!F21,'My Project'!$D$20&lt;'Expected Cost'!F22),'My Project'!$D$20,"")</f>
        <v/>
      </c>
    </row>
    <row r="23" spans="2:12" x14ac:dyDescent="0.25">
      <c r="G23" s="143" t="s">
        <v>134</v>
      </c>
      <c r="H23" s="145" t="str">
        <f>IF('My Project'!$D$20&gt;'Expected Cost'!F22,'My Project'!$D$20,"")</f>
        <v/>
      </c>
    </row>
    <row r="26" spans="2:12" ht="30" customHeight="1" x14ac:dyDescent="0.25">
      <c r="B26" s="271" t="s">
        <v>321</v>
      </c>
      <c r="C26" s="271"/>
      <c r="D26" s="271"/>
      <c r="E26" s="271"/>
      <c r="F26" s="271"/>
      <c r="G26" s="271"/>
      <c r="H26" s="271"/>
    </row>
    <row r="28" spans="2:12" ht="25.5" x14ac:dyDescent="0.25">
      <c r="B28" s="138" t="s">
        <v>132</v>
      </c>
      <c r="C28" s="138" t="s">
        <v>133</v>
      </c>
      <c r="H28" s="235"/>
    </row>
    <row r="29" spans="2:12" x14ac:dyDescent="0.25">
      <c r="B29" s="139">
        <v>44378</v>
      </c>
      <c r="C29" s="140">
        <v>1</v>
      </c>
      <c r="H29" s="235"/>
    </row>
    <row r="30" spans="2:12" x14ac:dyDescent="0.25">
      <c r="B30" s="139">
        <v>44423.5</v>
      </c>
      <c r="C30" s="140">
        <v>1.0047632467205565</v>
      </c>
      <c r="H30" s="235"/>
    </row>
    <row r="31" spans="2:12" x14ac:dyDescent="0.25">
      <c r="B31" s="139">
        <v>44515.5</v>
      </c>
      <c r="C31" s="140">
        <v>1.0151100989690007</v>
      </c>
      <c r="H31" s="235"/>
    </row>
    <row r="32" spans="2:12" x14ac:dyDescent="0.25">
      <c r="B32" s="139">
        <v>44606.5</v>
      </c>
      <c r="C32" s="140">
        <v>1.0239765269180143</v>
      </c>
      <c r="H32" s="235"/>
    </row>
    <row r="33" spans="2:8" x14ac:dyDescent="0.25">
      <c r="B33" s="139">
        <v>44697</v>
      </c>
      <c r="C33" s="140">
        <v>1.0331774002041338</v>
      </c>
      <c r="H33" s="235"/>
    </row>
    <row r="34" spans="2:8" x14ac:dyDescent="0.25">
      <c r="B34" s="139">
        <v>44788.5</v>
      </c>
      <c r="C34" s="140">
        <v>1.042113940790083</v>
      </c>
      <c r="H34" s="235"/>
    </row>
    <row r="35" spans="2:8" x14ac:dyDescent="0.25">
      <c r="B35" s="139">
        <v>44880.5</v>
      </c>
      <c r="C35" s="140">
        <v>1.0510432283446249</v>
      </c>
      <c r="H35" s="235"/>
    </row>
    <row r="36" spans="2:8" x14ac:dyDescent="0.25">
      <c r="B36" s="139">
        <v>44971.5</v>
      </c>
      <c r="C36" s="140">
        <v>1.0591843531529266</v>
      </c>
      <c r="H36" s="235"/>
    </row>
    <row r="37" spans="2:8" x14ac:dyDescent="0.25">
      <c r="B37" s="139">
        <v>45062</v>
      </c>
      <c r="C37" s="140">
        <v>1.0673794727505923</v>
      </c>
      <c r="H37" s="235"/>
    </row>
    <row r="38" spans="2:8" x14ac:dyDescent="0.25">
      <c r="B38" s="139">
        <v>45153.5</v>
      </c>
      <c r="C38" s="140">
        <v>1.0754593497381226</v>
      </c>
      <c r="H38" s="235"/>
    </row>
    <row r="39" spans="2:8" x14ac:dyDescent="0.25">
      <c r="B39" s="139">
        <v>45245.5</v>
      </c>
      <c r="C39" s="140">
        <v>1.0836721989681171</v>
      </c>
      <c r="H39" s="235"/>
    </row>
    <row r="40" spans="2:8" x14ac:dyDescent="0.25">
      <c r="B40" s="139">
        <v>45337</v>
      </c>
      <c r="C40" s="140">
        <v>1.0921284276964389</v>
      </c>
      <c r="H40" s="235"/>
    </row>
    <row r="41" spans="2:8" x14ac:dyDescent="0.25">
      <c r="B41" s="139">
        <v>45428</v>
      </c>
      <c r="C41" s="140">
        <v>1.1005927153485466</v>
      </c>
      <c r="H41" s="235"/>
    </row>
    <row r="42" spans="2:8" x14ac:dyDescent="0.25">
      <c r="B42" s="139">
        <v>45519.5</v>
      </c>
      <c r="C42" s="140">
        <v>1.1091085801128828</v>
      </c>
      <c r="H42" s="235"/>
    </row>
    <row r="43" spans="2:8" x14ac:dyDescent="0.25">
      <c r="B43" s="139">
        <v>45611.5</v>
      </c>
      <c r="C43" s="140">
        <v>1.11815875152421</v>
      </c>
      <c r="H43" s="235"/>
    </row>
    <row r="44" spans="2:8" x14ac:dyDescent="0.25">
      <c r="B44" s="139">
        <v>45702.5</v>
      </c>
      <c r="C44" s="140">
        <v>1.1273934722902295</v>
      </c>
      <c r="H44" s="235"/>
    </row>
    <row r="45" spans="2:8" x14ac:dyDescent="0.25">
      <c r="B45" s="139">
        <v>45793</v>
      </c>
      <c r="C45" s="140">
        <v>1.1366499521504703</v>
      </c>
      <c r="H45" s="235"/>
    </row>
    <row r="46" spans="2:8" x14ac:dyDescent="0.25">
      <c r="B46" s="139">
        <v>45884.5</v>
      </c>
      <c r="C46" s="140">
        <v>1.1461844648813175</v>
      </c>
      <c r="H46" s="235"/>
    </row>
    <row r="47" spans="2:8" x14ac:dyDescent="0.25">
      <c r="B47" s="139">
        <v>45976.5</v>
      </c>
      <c r="C47" s="140">
        <v>1.1557971491728856</v>
      </c>
      <c r="H47" s="235"/>
    </row>
    <row r="48" spans="2:8" x14ac:dyDescent="0.25">
      <c r="B48" s="139">
        <v>46067.5</v>
      </c>
      <c r="C48" s="140">
        <v>1.1654170864958608</v>
      </c>
      <c r="H48" s="235"/>
    </row>
    <row r="49" spans="2:8" x14ac:dyDescent="0.25">
      <c r="B49" s="139">
        <v>46158</v>
      </c>
      <c r="C49" s="140">
        <v>1.1751151953795576</v>
      </c>
      <c r="H49" s="235"/>
    </row>
    <row r="50" spans="2:8" x14ac:dyDescent="0.25">
      <c r="B50" s="139">
        <v>46249.5</v>
      </c>
      <c r="C50" s="140">
        <v>1.1848745520840251</v>
      </c>
      <c r="H50" s="235"/>
    </row>
    <row r="51" spans="2:8" x14ac:dyDescent="0.25">
      <c r="B51" s="139">
        <v>46341.5</v>
      </c>
      <c r="C51" s="140">
        <v>1.1947612397843068</v>
      </c>
      <c r="H51" s="235"/>
    </row>
    <row r="52" spans="2:8" x14ac:dyDescent="0.25">
      <c r="B52" s="139">
        <v>46432.5</v>
      </c>
      <c r="C52" s="140">
        <v>1.204714010659631</v>
      </c>
      <c r="H52" s="235"/>
    </row>
    <row r="53" spans="2:8" x14ac:dyDescent="0.25">
      <c r="B53" s="139">
        <v>46523</v>
      </c>
      <c r="C53" s="140">
        <v>1.2146982113377196</v>
      </c>
      <c r="H53" s="235"/>
    </row>
    <row r="54" spans="2:8" x14ac:dyDescent="0.25">
      <c r="B54" s="139">
        <v>46614.5</v>
      </c>
      <c r="C54" s="140">
        <v>1.2247742837469646</v>
      </c>
    </row>
  </sheetData>
  <sortState ref="H28:I79">
    <sortCondition ref="I28:I79"/>
  </sortState>
  <mergeCells count="2">
    <mergeCell ref="B21:D21"/>
    <mergeCell ref="B26:H26"/>
  </mergeCells>
  <pageMargins left="0.7" right="0.7" top="0.75" bottom="0.75" header="0.3" footer="0.3"/>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A1:O988"/>
  <sheetViews>
    <sheetView showGridLines="0" zoomScaleNormal="100" workbookViewId="0">
      <selection activeCell="B1" sqref="B1"/>
    </sheetView>
  </sheetViews>
  <sheetFormatPr defaultColWidth="9.140625" defaultRowHeight="15" x14ac:dyDescent="0.25"/>
  <cols>
    <col min="1" max="1" width="9.140625" style="6"/>
    <col min="2" max="2" width="12.7109375" style="6" bestFit="1" customWidth="1"/>
    <col min="3" max="3" width="21.5703125" style="6" customWidth="1"/>
    <col min="4" max="4" width="45.7109375" style="7" customWidth="1"/>
    <col min="5" max="5" width="11" style="27" customWidth="1"/>
    <col min="6" max="6" width="9.140625" style="8"/>
    <col min="7" max="9" width="11.28515625" style="6" customWidth="1"/>
    <col min="10" max="10" width="9.140625" style="8"/>
    <col min="11" max="11" width="18.7109375" style="6" bestFit="1" customWidth="1"/>
    <col min="12" max="12" width="14.28515625" style="2" bestFit="1" customWidth="1"/>
    <col min="13" max="13" width="10.5703125" style="2" bestFit="1" customWidth="1"/>
    <col min="14" max="16384" width="9.140625" style="2"/>
  </cols>
  <sheetData>
    <row r="1" spans="2:12" ht="23.25" x14ac:dyDescent="0.25">
      <c r="B1" s="237" t="s">
        <v>270</v>
      </c>
    </row>
    <row r="3" spans="2:12" x14ac:dyDescent="0.25">
      <c r="B3" s="23" t="s">
        <v>0</v>
      </c>
      <c r="C3" s="23" t="s">
        <v>1</v>
      </c>
      <c r="D3" s="24" t="s">
        <v>2</v>
      </c>
      <c r="E3" s="25"/>
      <c r="F3" s="26" t="s">
        <v>3</v>
      </c>
      <c r="G3" s="280" t="s">
        <v>4</v>
      </c>
      <c r="H3" s="280"/>
      <c r="I3" s="280"/>
      <c r="J3" s="26" t="s">
        <v>5</v>
      </c>
      <c r="K3" s="50"/>
    </row>
    <row r="4" spans="2:12" x14ac:dyDescent="0.25">
      <c r="B4" s="46"/>
      <c r="C4" s="46"/>
      <c r="D4" s="47"/>
      <c r="E4" s="48"/>
      <c r="F4" s="49"/>
      <c r="G4" s="49"/>
      <c r="H4" s="49"/>
      <c r="I4" s="49"/>
      <c r="J4" s="49"/>
      <c r="K4" s="50"/>
    </row>
    <row r="5" spans="2:12" x14ac:dyDescent="0.25">
      <c r="B5" s="71" t="s">
        <v>69</v>
      </c>
      <c r="C5" s="72" t="s">
        <v>106</v>
      </c>
      <c r="D5" s="114" t="s">
        <v>210</v>
      </c>
      <c r="E5" s="73"/>
      <c r="F5" s="74"/>
      <c r="G5" s="74"/>
      <c r="H5" s="74"/>
      <c r="I5" s="74"/>
      <c r="J5" s="75"/>
      <c r="K5" s="50"/>
    </row>
    <row r="6" spans="2:12" x14ac:dyDescent="0.25">
      <c r="B6" s="76"/>
      <c r="C6" s="62"/>
      <c r="D6" s="61" t="s">
        <v>251</v>
      </c>
      <c r="E6" s="63"/>
      <c r="F6" s="60">
        <v>9</v>
      </c>
      <c r="G6" s="272" t="s">
        <v>9</v>
      </c>
      <c r="H6" s="272"/>
      <c r="I6" s="272"/>
      <c r="J6" s="244">
        <v>5</v>
      </c>
      <c r="K6" s="49"/>
      <c r="L6" s="50"/>
    </row>
    <row r="7" spans="2:12" x14ac:dyDescent="0.25">
      <c r="B7" s="76"/>
      <c r="C7" s="62"/>
      <c r="D7" s="61" t="s">
        <v>107</v>
      </c>
      <c r="E7" s="63"/>
      <c r="F7" s="60">
        <v>4</v>
      </c>
      <c r="G7" s="281" t="s">
        <v>7</v>
      </c>
      <c r="H7" s="281"/>
      <c r="I7" s="281"/>
      <c r="J7" s="77">
        <f>IF(G7="Yes",F7,0)</f>
        <v>4</v>
      </c>
      <c r="K7" s="49"/>
      <c r="L7" s="50"/>
    </row>
    <row r="8" spans="2:12" x14ac:dyDescent="0.25">
      <c r="B8" s="76"/>
      <c r="C8" s="62"/>
      <c r="D8" s="61" t="s">
        <v>185</v>
      </c>
      <c r="E8" s="63"/>
      <c r="F8" s="60">
        <v>4</v>
      </c>
      <c r="G8" s="281" t="s">
        <v>7</v>
      </c>
      <c r="H8" s="281"/>
      <c r="I8" s="281"/>
      <c r="J8" s="77">
        <f>IF(G8="Yes",F8,0)</f>
        <v>4</v>
      </c>
      <c r="K8" s="49"/>
      <c r="L8" s="50"/>
    </row>
    <row r="9" spans="2:12" x14ac:dyDescent="0.25">
      <c r="B9" s="76"/>
      <c r="C9" s="62"/>
      <c r="D9" s="61" t="s">
        <v>108</v>
      </c>
      <c r="E9" s="63"/>
      <c r="F9" s="60">
        <v>4</v>
      </c>
      <c r="G9" s="281" t="s">
        <v>7</v>
      </c>
      <c r="H9" s="281"/>
      <c r="I9" s="281"/>
      <c r="J9" s="77">
        <f>IF(G9="Yes",F9,0)</f>
        <v>4</v>
      </c>
      <c r="K9" s="49"/>
      <c r="L9" s="50"/>
    </row>
    <row r="10" spans="2:12" x14ac:dyDescent="0.25">
      <c r="B10" s="78"/>
      <c r="C10" s="67"/>
      <c r="D10" s="65" t="s">
        <v>109</v>
      </c>
      <c r="E10" s="64"/>
      <c r="F10" s="66">
        <v>2</v>
      </c>
      <c r="G10" s="279" t="s">
        <v>7</v>
      </c>
      <c r="H10" s="279"/>
      <c r="I10" s="279"/>
      <c r="J10" s="79">
        <f>IF(G10="Yes",F10,0)</f>
        <v>2</v>
      </c>
      <c r="K10" s="49"/>
      <c r="L10" s="50"/>
    </row>
    <row r="11" spans="2:12" x14ac:dyDescent="0.25">
      <c r="B11" s="46"/>
      <c r="C11" s="51"/>
      <c r="D11" s="10"/>
      <c r="E11" s="2"/>
      <c r="F11" s="13"/>
      <c r="H11" s="52"/>
      <c r="I11" s="52" t="s">
        <v>110</v>
      </c>
      <c r="J11" s="53">
        <f>SUM(J6:J10)</f>
        <v>19</v>
      </c>
      <c r="K11" s="51" t="str">
        <f>CONCATENATE("out of ",Priorities!C5," possible.")</f>
        <v>out of 23 possible.</v>
      </c>
      <c r="L11" s="49"/>
    </row>
    <row r="12" spans="2:12" x14ac:dyDescent="0.25">
      <c r="B12" s="54"/>
      <c r="C12" s="55"/>
      <c r="D12" s="10"/>
      <c r="E12" s="2"/>
      <c r="F12" s="13"/>
      <c r="H12" s="52"/>
      <c r="I12" s="52" t="s">
        <v>10</v>
      </c>
      <c r="J12" s="56">
        <f>Priorities!$D$5</f>
        <v>1</v>
      </c>
      <c r="K12" s="55"/>
      <c r="L12" s="49"/>
    </row>
    <row r="13" spans="2:12" x14ac:dyDescent="0.25">
      <c r="B13" s="54"/>
      <c r="C13" s="55"/>
      <c r="D13" s="10"/>
      <c r="E13" s="2"/>
      <c r="F13" s="13"/>
      <c r="H13" s="52"/>
      <c r="I13" s="52" t="s">
        <v>11</v>
      </c>
      <c r="J13" s="56">
        <f>J12*J11</f>
        <v>19</v>
      </c>
      <c r="K13" s="51" t="str">
        <f>CONCATENATE("out of ",Priorities!$E$5," possible.")</f>
        <v>out of 23 possible.</v>
      </c>
      <c r="L13" s="49"/>
    </row>
    <row r="14" spans="2:12" x14ac:dyDescent="0.25">
      <c r="B14" s="54"/>
      <c r="C14" s="55"/>
      <c r="D14" s="10"/>
      <c r="E14" s="2"/>
      <c r="F14" s="13"/>
      <c r="H14" s="52"/>
      <c r="I14" s="52" t="s">
        <v>12</v>
      </c>
      <c r="J14" s="56">
        <v>1</v>
      </c>
      <c r="K14" s="55"/>
      <c r="L14" s="49"/>
    </row>
    <row r="15" spans="2:12" x14ac:dyDescent="0.25">
      <c r="B15" s="54"/>
      <c r="C15" s="55"/>
      <c r="D15" s="10"/>
      <c r="E15" s="2"/>
      <c r="F15" s="13"/>
      <c r="H15" s="57"/>
      <c r="I15" s="57" t="s">
        <v>111</v>
      </c>
      <c r="J15" s="58">
        <f>J11*J14*J12</f>
        <v>19</v>
      </c>
      <c r="K15" s="59"/>
      <c r="L15" s="49"/>
    </row>
    <row r="16" spans="2:12" x14ac:dyDescent="0.25">
      <c r="G16" s="8"/>
      <c r="H16" s="8"/>
      <c r="I16" s="8"/>
      <c r="K16" s="50"/>
    </row>
    <row r="17" spans="1:13" s="1" customFormat="1" x14ac:dyDescent="0.25">
      <c r="A17" s="23"/>
      <c r="B17" s="84" t="s">
        <v>174</v>
      </c>
      <c r="C17" s="85" t="s">
        <v>190</v>
      </c>
      <c r="D17" s="207" t="s">
        <v>279</v>
      </c>
      <c r="E17" s="86"/>
      <c r="F17" s="87"/>
      <c r="G17" s="87"/>
      <c r="H17" s="87"/>
      <c r="I17" s="87"/>
      <c r="J17" s="88"/>
      <c r="K17" s="50"/>
      <c r="M17" s="4"/>
    </row>
    <row r="18" spans="1:13" s="1" customFormat="1" ht="45" x14ac:dyDescent="0.25">
      <c r="A18" s="23"/>
      <c r="B18" s="115"/>
      <c r="C18" s="80"/>
      <c r="D18" s="81" t="s">
        <v>191</v>
      </c>
      <c r="E18" s="82"/>
      <c r="F18" s="83">
        <v>20</v>
      </c>
      <c r="G18" s="272" t="s">
        <v>7</v>
      </c>
      <c r="H18" s="272"/>
      <c r="I18" s="272"/>
      <c r="J18" s="116">
        <f>IF(G18="Yes",F18,0)</f>
        <v>20</v>
      </c>
      <c r="K18" s="50"/>
      <c r="M18" s="4"/>
    </row>
    <row r="19" spans="1:13" s="1" customFormat="1" ht="30" x14ac:dyDescent="0.25">
      <c r="A19" s="23"/>
      <c r="B19" s="89"/>
      <c r="C19" s="35"/>
      <c r="D19" s="36" t="s">
        <v>192</v>
      </c>
      <c r="E19" s="37"/>
      <c r="F19" s="38">
        <v>15</v>
      </c>
      <c r="G19" s="272"/>
      <c r="H19" s="272"/>
      <c r="I19" s="272"/>
      <c r="J19" s="90">
        <f>IF(G19="Yes",F19,0)</f>
        <v>0</v>
      </c>
      <c r="K19" s="50"/>
      <c r="M19" s="4"/>
    </row>
    <row r="20" spans="1:13" s="1" customFormat="1" ht="30" x14ac:dyDescent="0.25">
      <c r="A20" s="23"/>
      <c r="B20" s="89"/>
      <c r="C20" s="35"/>
      <c r="D20" s="36" t="s">
        <v>193</v>
      </c>
      <c r="E20" s="37"/>
      <c r="F20" s="38">
        <v>10</v>
      </c>
      <c r="G20" s="272"/>
      <c r="H20" s="272"/>
      <c r="I20" s="272"/>
      <c r="J20" s="90">
        <f>IF(G20="Yes",F20,0)</f>
        <v>0</v>
      </c>
      <c r="K20" s="50"/>
      <c r="M20" s="4"/>
    </row>
    <row r="21" spans="1:13" s="1" customFormat="1" x14ac:dyDescent="0.25">
      <c r="A21" s="23"/>
      <c r="B21" s="91"/>
      <c r="C21" s="39"/>
      <c r="D21" s="40" t="s">
        <v>194</v>
      </c>
      <c r="E21" s="41"/>
      <c r="F21" s="42">
        <v>0</v>
      </c>
      <c r="G21" s="273"/>
      <c r="H21" s="273"/>
      <c r="I21" s="273"/>
      <c r="J21" s="92">
        <f>IF(G21="Yes",F21,0)</f>
        <v>0</v>
      </c>
      <c r="K21" s="50"/>
      <c r="M21" s="4"/>
    </row>
    <row r="22" spans="1:13" s="1" customFormat="1" x14ac:dyDescent="0.25">
      <c r="A22" s="23"/>
      <c r="B22" s="84" t="s">
        <v>174</v>
      </c>
      <c r="C22" s="85" t="s">
        <v>319</v>
      </c>
      <c r="D22" s="207" t="s">
        <v>280</v>
      </c>
      <c r="E22" s="86"/>
      <c r="F22" s="87"/>
      <c r="G22" s="87"/>
      <c r="H22" s="87"/>
      <c r="I22" s="87"/>
      <c r="J22" s="88"/>
      <c r="K22" s="50"/>
      <c r="M22" s="4"/>
    </row>
    <row r="23" spans="1:13" s="1" customFormat="1" ht="45" x14ac:dyDescent="0.25">
      <c r="A23" s="23"/>
      <c r="B23" s="115"/>
      <c r="C23" s="80"/>
      <c r="D23" s="81" t="s">
        <v>195</v>
      </c>
      <c r="E23" s="82"/>
      <c r="F23" s="83">
        <v>30</v>
      </c>
      <c r="G23" s="272" t="s">
        <v>7</v>
      </c>
      <c r="H23" s="272"/>
      <c r="I23" s="272"/>
      <c r="J23" s="116">
        <f>IF(G23="Yes",F23,0)</f>
        <v>30</v>
      </c>
      <c r="K23" s="50"/>
      <c r="M23" s="4"/>
    </row>
    <row r="24" spans="1:13" s="1" customFormat="1" ht="60" x14ac:dyDescent="0.25">
      <c r="A24" s="23"/>
      <c r="B24" s="89"/>
      <c r="C24" s="35"/>
      <c r="D24" s="36" t="s">
        <v>196</v>
      </c>
      <c r="E24" s="37"/>
      <c r="F24" s="38">
        <v>15</v>
      </c>
      <c r="G24" s="272"/>
      <c r="H24" s="272"/>
      <c r="I24" s="272"/>
      <c r="J24" s="90">
        <f>IF(G24="Yes",F24,0)</f>
        <v>0</v>
      </c>
      <c r="K24" s="50"/>
      <c r="M24" s="4"/>
    </row>
    <row r="25" spans="1:13" s="1" customFormat="1" ht="60" x14ac:dyDescent="0.25">
      <c r="A25" s="23"/>
      <c r="B25" s="89"/>
      <c r="C25" s="35"/>
      <c r="D25" s="36" t="s">
        <v>197</v>
      </c>
      <c r="E25" s="37"/>
      <c r="F25" s="38">
        <v>5</v>
      </c>
      <c r="G25" s="272"/>
      <c r="H25" s="272"/>
      <c r="I25" s="272"/>
      <c r="J25" s="90">
        <f>IF(G25="Yes",F25,0)</f>
        <v>0</v>
      </c>
      <c r="K25" s="50"/>
      <c r="M25" s="4"/>
    </row>
    <row r="26" spans="1:13" s="1" customFormat="1" ht="60" x14ac:dyDescent="0.25">
      <c r="A26" s="23"/>
      <c r="B26" s="91"/>
      <c r="C26" s="39"/>
      <c r="D26" s="40" t="s">
        <v>198</v>
      </c>
      <c r="E26" s="41"/>
      <c r="F26" s="42">
        <v>0</v>
      </c>
      <c r="G26" s="273"/>
      <c r="H26" s="273"/>
      <c r="I26" s="273"/>
      <c r="J26" s="92">
        <f>IF(G26="Yes",F26,0)</f>
        <v>0</v>
      </c>
      <c r="K26" s="50"/>
      <c r="M26" s="4"/>
    </row>
    <row r="27" spans="1:13" s="1" customFormat="1" x14ac:dyDescent="0.25">
      <c r="A27" s="23"/>
      <c r="B27" s="84" t="s">
        <v>174</v>
      </c>
      <c r="C27" s="85" t="s">
        <v>199</v>
      </c>
      <c r="D27" s="207" t="s">
        <v>209</v>
      </c>
      <c r="E27" s="86"/>
      <c r="F27" s="87"/>
      <c r="G27" s="87"/>
      <c r="H27" s="87"/>
      <c r="I27" s="87"/>
      <c r="J27" s="88"/>
      <c r="K27" s="50"/>
      <c r="M27" s="4"/>
    </row>
    <row r="28" spans="1:13" s="1" customFormat="1" ht="45" x14ac:dyDescent="0.25">
      <c r="A28" s="23"/>
      <c r="B28" s="115"/>
      <c r="C28" s="80"/>
      <c r="D28" s="81" t="s">
        <v>200</v>
      </c>
      <c r="E28" s="82"/>
      <c r="F28" s="83">
        <v>12</v>
      </c>
      <c r="G28" s="272" t="s">
        <v>7</v>
      </c>
      <c r="H28" s="272"/>
      <c r="I28" s="272"/>
      <c r="J28" s="116">
        <f>IF(G28="Yes",F28,0)</f>
        <v>12</v>
      </c>
      <c r="K28" s="50"/>
      <c r="M28" s="4"/>
    </row>
    <row r="29" spans="1:13" s="1" customFormat="1" x14ac:dyDescent="0.25">
      <c r="A29" s="23"/>
      <c r="B29" s="89"/>
      <c r="C29" s="35"/>
      <c r="D29" s="36" t="s">
        <v>201</v>
      </c>
      <c r="E29" s="37"/>
      <c r="F29" s="38">
        <v>6</v>
      </c>
      <c r="G29" s="272"/>
      <c r="H29" s="272"/>
      <c r="I29" s="272"/>
      <c r="J29" s="90">
        <f>IF(G29="Yes",F29,0)</f>
        <v>0</v>
      </c>
      <c r="K29" s="50"/>
      <c r="M29" s="4"/>
    </row>
    <row r="30" spans="1:13" s="1" customFormat="1" x14ac:dyDescent="0.25">
      <c r="A30" s="23"/>
      <c r="B30" s="91"/>
      <c r="C30" s="39"/>
      <c r="D30" s="40" t="s">
        <v>202</v>
      </c>
      <c r="E30" s="41"/>
      <c r="F30" s="42">
        <v>0</v>
      </c>
      <c r="G30" s="273"/>
      <c r="H30" s="273"/>
      <c r="I30" s="273"/>
      <c r="J30" s="92">
        <f>IF(G30="Yes",F30,0)</f>
        <v>0</v>
      </c>
      <c r="K30" s="50"/>
      <c r="M30" s="4"/>
    </row>
    <row r="31" spans="1:13" s="1" customFormat="1" x14ac:dyDescent="0.25">
      <c r="A31" s="23"/>
      <c r="B31" s="84" t="s">
        <v>174</v>
      </c>
      <c r="C31" s="85" t="s">
        <v>282</v>
      </c>
      <c r="D31" s="207" t="s">
        <v>281</v>
      </c>
      <c r="E31" s="86"/>
      <c r="F31" s="87"/>
      <c r="G31" s="87"/>
      <c r="H31" s="87"/>
      <c r="I31" s="87"/>
      <c r="J31" s="88"/>
      <c r="K31" s="50"/>
      <c r="M31" s="4"/>
    </row>
    <row r="32" spans="1:13" s="1" customFormat="1" ht="30" x14ac:dyDescent="0.25">
      <c r="A32" s="23"/>
      <c r="B32" s="115"/>
      <c r="C32" s="80"/>
      <c r="D32" s="81" t="s">
        <v>203</v>
      </c>
      <c r="E32" s="82"/>
      <c r="F32" s="83">
        <v>15</v>
      </c>
      <c r="G32" s="272" t="s">
        <v>7</v>
      </c>
      <c r="H32" s="272"/>
      <c r="I32" s="272"/>
      <c r="J32" s="116">
        <f>IF(G32="Yes",F32,0)</f>
        <v>15</v>
      </c>
      <c r="K32" s="50"/>
      <c r="M32" s="4"/>
    </row>
    <row r="33" spans="1:13" s="1" customFormat="1" ht="30" x14ac:dyDescent="0.25">
      <c r="A33" s="23"/>
      <c r="B33" s="89"/>
      <c r="C33" s="35"/>
      <c r="D33" s="36" t="s">
        <v>204</v>
      </c>
      <c r="E33" s="37"/>
      <c r="F33" s="38">
        <v>10</v>
      </c>
      <c r="G33" s="272"/>
      <c r="H33" s="272"/>
      <c r="I33" s="272"/>
      <c r="J33" s="90">
        <f>IF(G33="Yes",F33,0)</f>
        <v>0</v>
      </c>
      <c r="K33" s="50"/>
      <c r="M33" s="4"/>
    </row>
    <row r="34" spans="1:13" s="1" customFormat="1" ht="30" x14ac:dyDescent="0.25">
      <c r="A34" s="23"/>
      <c r="B34" s="89"/>
      <c r="C34" s="35"/>
      <c r="D34" s="36" t="s">
        <v>205</v>
      </c>
      <c r="E34" s="37"/>
      <c r="F34" s="38">
        <v>5</v>
      </c>
      <c r="G34" s="272"/>
      <c r="H34" s="272"/>
      <c r="I34" s="272"/>
      <c r="J34" s="90">
        <f>IF(G34="Yes",F34,0)</f>
        <v>0</v>
      </c>
      <c r="K34" s="50"/>
      <c r="M34" s="4"/>
    </row>
    <row r="35" spans="1:13" s="1" customFormat="1" ht="30" x14ac:dyDescent="0.25">
      <c r="A35" s="23"/>
      <c r="B35" s="91"/>
      <c r="C35" s="39"/>
      <c r="D35" s="40" t="s">
        <v>206</v>
      </c>
      <c r="E35" s="41"/>
      <c r="F35" s="42">
        <v>0</v>
      </c>
      <c r="G35" s="273"/>
      <c r="H35" s="273"/>
      <c r="I35" s="273"/>
      <c r="J35" s="92">
        <f>IF(G35="Yes",F35,0)</f>
        <v>0</v>
      </c>
      <c r="K35" s="50"/>
      <c r="M35" s="4"/>
    </row>
    <row r="36" spans="1:13" s="1" customFormat="1" x14ac:dyDescent="0.25">
      <c r="A36" s="23"/>
      <c r="B36" s="23"/>
      <c r="C36" s="23" t="s">
        <v>207</v>
      </c>
      <c r="D36" s="24"/>
      <c r="E36" s="25"/>
      <c r="F36" s="26"/>
      <c r="H36" s="28"/>
      <c r="I36" s="28" t="s">
        <v>207</v>
      </c>
      <c r="J36" s="29">
        <f>SUM(J17:J35)</f>
        <v>77</v>
      </c>
      <c r="K36" s="46" t="str">
        <f>CONCATENATE("out of ",Priorities!$C$10," possible.")</f>
        <v>out of 77 possible.</v>
      </c>
      <c r="M36" s="4"/>
    </row>
    <row r="37" spans="1:13" s="1" customFormat="1" x14ac:dyDescent="0.25">
      <c r="A37" s="23"/>
      <c r="B37" s="23"/>
      <c r="C37" s="23"/>
      <c r="D37" s="24"/>
      <c r="E37" s="25"/>
      <c r="F37" s="26"/>
      <c r="H37" s="28"/>
      <c r="I37" s="28" t="s">
        <v>10</v>
      </c>
      <c r="J37" s="30">
        <f>Priorities!$D$10</f>
        <v>1</v>
      </c>
      <c r="K37" s="54"/>
      <c r="M37" s="4"/>
    </row>
    <row r="38" spans="1:13" s="1" customFormat="1" x14ac:dyDescent="0.25">
      <c r="A38" s="23"/>
      <c r="B38" s="23"/>
      <c r="C38" s="23"/>
      <c r="D38" s="24"/>
      <c r="E38" s="25"/>
      <c r="F38" s="26"/>
      <c r="H38" s="28"/>
      <c r="I38" s="28" t="s">
        <v>11</v>
      </c>
      <c r="J38" s="30">
        <f>J37*J36</f>
        <v>77</v>
      </c>
      <c r="K38" s="46" t="str">
        <f>CONCATENATE("out of ",Priorities!$E$10," possible.")</f>
        <v>out of 77 possible.</v>
      </c>
      <c r="M38" s="4"/>
    </row>
    <row r="39" spans="1:13" s="1" customFormat="1" x14ac:dyDescent="0.25">
      <c r="A39" s="23"/>
      <c r="B39" s="23"/>
      <c r="C39" s="23"/>
      <c r="D39" s="24"/>
      <c r="E39" s="25"/>
      <c r="F39" s="26"/>
      <c r="H39" s="28"/>
      <c r="I39" s="28" t="s">
        <v>12</v>
      </c>
      <c r="J39" s="30">
        <f>Parameters!D29</f>
        <v>3.6458747365275018E-2</v>
      </c>
      <c r="K39" s="54"/>
      <c r="M39" s="4"/>
    </row>
    <row r="40" spans="1:13" s="1" customFormat="1" x14ac:dyDescent="0.25">
      <c r="A40" s="23"/>
      <c r="B40" s="23"/>
      <c r="C40" s="23"/>
      <c r="D40" s="24"/>
      <c r="E40" s="25"/>
      <c r="F40" s="26"/>
      <c r="H40" s="31"/>
      <c r="I40" s="31" t="s">
        <v>208</v>
      </c>
      <c r="J40" s="32">
        <f>+J36*J39*J37</f>
        <v>2.8073235471261766</v>
      </c>
      <c r="K40" s="46" t="str">
        <f>CONCATENATE("out of ",TEXT(Priorities!$E$10*J39,"##.##")," possible.")</f>
        <v>out of 2.81 possible.</v>
      </c>
      <c r="M40" s="4"/>
    </row>
    <row r="41" spans="1:13" x14ac:dyDescent="0.25">
      <c r="K41" s="50"/>
    </row>
    <row r="42" spans="1:13" x14ac:dyDescent="0.25">
      <c r="B42" s="84" t="s">
        <v>13</v>
      </c>
      <c r="C42" s="85" t="s">
        <v>14</v>
      </c>
      <c r="D42" s="276" t="s">
        <v>258</v>
      </c>
      <c r="E42" s="276"/>
      <c r="F42" s="276"/>
      <c r="G42" s="276"/>
      <c r="H42" s="276"/>
      <c r="I42" s="276"/>
      <c r="J42" s="277"/>
      <c r="K42" s="50"/>
    </row>
    <row r="43" spans="1:13" x14ac:dyDescent="0.25">
      <c r="B43" s="115"/>
      <c r="C43" s="80"/>
      <c r="D43" s="81" t="s">
        <v>15</v>
      </c>
      <c r="E43" s="82"/>
      <c r="F43" s="83">
        <v>16</v>
      </c>
      <c r="G43" s="272" t="str">
        <f>IF('My Project'!$E$118&gt;50,"Yes","No")</f>
        <v>Yes</v>
      </c>
      <c r="H43" s="272"/>
      <c r="I43" s="272"/>
      <c r="J43" s="116">
        <f>IF(G43="Yes",F43,0)</f>
        <v>16</v>
      </c>
      <c r="K43" s="50"/>
    </row>
    <row r="44" spans="1:13" x14ac:dyDescent="0.25">
      <c r="B44" s="89"/>
      <c r="C44" s="35"/>
      <c r="D44" s="36" t="s">
        <v>16</v>
      </c>
      <c r="E44" s="37"/>
      <c r="F44" s="38">
        <v>13</v>
      </c>
      <c r="G44" s="272" t="str">
        <f>IF(AND('My Project'!$E$118&gt;40,'My Project'!$E$118&lt;=50),"Yes","No")</f>
        <v>No</v>
      </c>
      <c r="H44" s="272"/>
      <c r="I44" s="272"/>
      <c r="J44" s="90">
        <f t="shared" ref="J44:J57" si="0">IF(G44="Yes",F44,0)</f>
        <v>0</v>
      </c>
      <c r="K44" s="50"/>
    </row>
    <row r="45" spans="1:13" x14ac:dyDescent="0.25">
      <c r="B45" s="89"/>
      <c r="C45" s="35"/>
      <c r="D45" s="36" t="s">
        <v>17</v>
      </c>
      <c r="E45" s="37"/>
      <c r="F45" s="38">
        <v>11</v>
      </c>
      <c r="G45" s="272" t="str">
        <f>IF(AND('My Project'!$E$118&gt;35,'My Project'!$E$118&lt;=40),"Yes","No")</f>
        <v>No</v>
      </c>
      <c r="H45" s="272"/>
      <c r="I45" s="272"/>
      <c r="J45" s="90">
        <f t="shared" si="0"/>
        <v>0</v>
      </c>
      <c r="K45" s="50"/>
    </row>
    <row r="46" spans="1:13" x14ac:dyDescent="0.25">
      <c r="B46" s="89"/>
      <c r="C46" s="35"/>
      <c r="D46" s="36" t="s">
        <v>18</v>
      </c>
      <c r="E46" s="37"/>
      <c r="F46" s="38">
        <v>8</v>
      </c>
      <c r="G46" s="272" t="str">
        <f>IF(AND('My Project'!$E$118&gt;30,'My Project'!$E$118&lt;=35),"Yes","No")</f>
        <v>No</v>
      </c>
      <c r="H46" s="272"/>
      <c r="I46" s="272"/>
      <c r="J46" s="90">
        <f t="shared" si="0"/>
        <v>0</v>
      </c>
      <c r="K46" s="50"/>
    </row>
    <row r="47" spans="1:13" x14ac:dyDescent="0.25">
      <c r="B47" s="89"/>
      <c r="C47" s="35"/>
      <c r="D47" s="36" t="s">
        <v>19</v>
      </c>
      <c r="E47" s="37"/>
      <c r="F47" s="38">
        <v>5</v>
      </c>
      <c r="G47" s="272" t="str">
        <f>IF(AND('My Project'!$E$118&gt;25,'My Project'!$E$118&lt;=30),"Yes","No")</f>
        <v>No</v>
      </c>
      <c r="H47" s="272"/>
      <c r="I47" s="272"/>
      <c r="J47" s="90">
        <f t="shared" si="0"/>
        <v>0</v>
      </c>
      <c r="K47" s="50"/>
    </row>
    <row r="48" spans="1:13" x14ac:dyDescent="0.25">
      <c r="B48" s="89"/>
      <c r="C48" s="35"/>
      <c r="D48" s="36" t="s">
        <v>20</v>
      </c>
      <c r="E48" s="37"/>
      <c r="F48" s="38">
        <v>2</v>
      </c>
      <c r="G48" s="272" t="str">
        <f>IF(AND('My Project'!$E$118&gt;=20,'My Project'!$E$118&lt;=25),"Yes","No")</f>
        <v>No</v>
      </c>
      <c r="H48" s="272"/>
      <c r="I48" s="272"/>
      <c r="J48" s="90">
        <f t="shared" si="0"/>
        <v>0</v>
      </c>
      <c r="K48" s="50"/>
    </row>
    <row r="49" spans="2:13" x14ac:dyDescent="0.25">
      <c r="B49" s="91"/>
      <c r="C49" s="39"/>
      <c r="D49" s="99" t="s">
        <v>21</v>
      </c>
      <c r="E49" s="100"/>
      <c r="F49" s="42">
        <v>0</v>
      </c>
      <c r="G49" s="273" t="str">
        <f>IF('My Project'!$E$118&lt;20,"Yes","No")</f>
        <v>No</v>
      </c>
      <c r="H49" s="273"/>
      <c r="I49" s="273"/>
      <c r="J49" s="92">
        <f t="shared" si="0"/>
        <v>0</v>
      </c>
      <c r="K49" s="50"/>
    </row>
    <row r="50" spans="2:13" x14ac:dyDescent="0.25">
      <c r="B50" s="84" t="s">
        <v>13</v>
      </c>
      <c r="C50" s="85" t="s">
        <v>22</v>
      </c>
      <c r="D50" s="276" t="s">
        <v>258</v>
      </c>
      <c r="E50" s="276"/>
      <c r="F50" s="276"/>
      <c r="G50" s="276"/>
      <c r="H50" s="276"/>
      <c r="I50" s="276"/>
      <c r="J50" s="277"/>
      <c r="K50" s="50"/>
    </row>
    <row r="51" spans="2:13" x14ac:dyDescent="0.25">
      <c r="B51" s="115"/>
      <c r="C51" s="80"/>
      <c r="D51" s="81" t="s">
        <v>23</v>
      </c>
      <c r="E51" s="82"/>
      <c r="F51" s="83">
        <v>2</v>
      </c>
      <c r="G51" s="272" t="str">
        <f>IF('My Project'!$E$128&gt;600,"Yes","No")</f>
        <v>No</v>
      </c>
      <c r="H51" s="272"/>
      <c r="I51" s="272"/>
      <c r="J51" s="116">
        <f t="shared" ref="J51" si="1">IF(G51="Yes",F51,0)</f>
        <v>0</v>
      </c>
      <c r="K51" s="50"/>
    </row>
    <row r="52" spans="2:13" x14ac:dyDescent="0.25">
      <c r="B52" s="89"/>
      <c r="C52" s="35"/>
      <c r="D52" s="36" t="s">
        <v>24</v>
      </c>
      <c r="E52" s="37"/>
      <c r="F52" s="38">
        <v>11</v>
      </c>
      <c r="G52" s="272" t="str">
        <f>IF(AND('My Project'!$E$128&gt;525,'My Project'!$E$128&lt;=600),"Yes","No")</f>
        <v>No</v>
      </c>
      <c r="H52" s="272"/>
      <c r="I52" s="272"/>
      <c r="J52" s="90">
        <f t="shared" si="0"/>
        <v>0</v>
      </c>
      <c r="K52" s="50"/>
    </row>
    <row r="53" spans="2:13" x14ac:dyDescent="0.25">
      <c r="B53" s="89"/>
      <c r="C53" s="35"/>
      <c r="D53" s="36" t="s">
        <v>25</v>
      </c>
      <c r="E53" s="37"/>
      <c r="F53" s="38">
        <v>16</v>
      </c>
      <c r="G53" s="272" t="str">
        <f>IF(AND('My Project'!$E$128&gt;475,'My Project'!$E$128&lt;=525),"Yes","No")</f>
        <v>No</v>
      </c>
      <c r="H53" s="272"/>
      <c r="I53" s="272"/>
      <c r="J53" s="90">
        <f t="shared" si="0"/>
        <v>0</v>
      </c>
      <c r="K53" s="50"/>
    </row>
    <row r="54" spans="2:13" x14ac:dyDescent="0.25">
      <c r="B54" s="89"/>
      <c r="C54" s="35"/>
      <c r="D54" s="36" t="s">
        <v>26</v>
      </c>
      <c r="E54" s="37"/>
      <c r="F54" s="38">
        <v>11</v>
      </c>
      <c r="G54" s="272" t="str">
        <f>IF(AND('My Project'!$E$128&gt;450,'My Project'!$E$128&lt;=475),"Yes","No")</f>
        <v>No</v>
      </c>
      <c r="H54" s="272"/>
      <c r="I54" s="272"/>
      <c r="J54" s="90">
        <f t="shared" si="0"/>
        <v>0</v>
      </c>
      <c r="K54" s="50"/>
    </row>
    <row r="55" spans="2:13" x14ac:dyDescent="0.25">
      <c r="B55" s="89"/>
      <c r="C55" s="35"/>
      <c r="D55" s="36" t="s">
        <v>27</v>
      </c>
      <c r="E55" s="37"/>
      <c r="F55" s="38">
        <v>2</v>
      </c>
      <c r="G55" s="272" t="str">
        <f>IF(AND('My Project'!$E$128&gt;350,'My Project'!$E$128&lt;=451),"Yes","No")</f>
        <v>No</v>
      </c>
      <c r="H55" s="272"/>
      <c r="I55" s="272"/>
      <c r="J55" s="90">
        <f t="shared" si="0"/>
        <v>0</v>
      </c>
      <c r="K55" s="50"/>
    </row>
    <row r="56" spans="2:13" x14ac:dyDescent="0.25">
      <c r="B56" s="89"/>
      <c r="C56" s="35"/>
      <c r="D56" s="36" t="s">
        <v>28</v>
      </c>
      <c r="E56" s="37"/>
      <c r="F56" s="38">
        <v>0</v>
      </c>
      <c r="G56" s="272" t="str">
        <f>IF(AND('My Project'!$E$128&gt;275,'My Project'!$E$128&lt;=350),"Yes","No")</f>
        <v>Yes</v>
      </c>
      <c r="H56" s="272"/>
      <c r="I56" s="272"/>
      <c r="J56" s="90">
        <f t="shared" si="0"/>
        <v>0</v>
      </c>
      <c r="K56" s="50"/>
    </row>
    <row r="57" spans="2:13" x14ac:dyDescent="0.25">
      <c r="B57" s="91"/>
      <c r="C57" s="39"/>
      <c r="D57" s="40" t="s">
        <v>51</v>
      </c>
      <c r="E57" s="41"/>
      <c r="F57" s="42">
        <v>-5</v>
      </c>
      <c r="G57" s="273" t="str">
        <f>IF('My Project'!$E$128&lt;=275,"Yes","No")</f>
        <v>No</v>
      </c>
      <c r="H57" s="273"/>
      <c r="I57" s="273"/>
      <c r="J57" s="92">
        <f t="shared" si="0"/>
        <v>0</v>
      </c>
      <c r="K57" s="50"/>
    </row>
    <row r="58" spans="2:13" x14ac:dyDescent="0.25">
      <c r="B58" s="84" t="s">
        <v>13</v>
      </c>
      <c r="C58" s="85" t="s">
        <v>115</v>
      </c>
      <c r="D58" s="208" t="s">
        <v>142</v>
      </c>
      <c r="E58" s="86"/>
      <c r="F58" s="87"/>
      <c r="G58" s="87"/>
      <c r="H58" s="87"/>
      <c r="I58" s="87"/>
      <c r="J58" s="88"/>
      <c r="K58" s="50"/>
    </row>
    <row r="59" spans="2:13" ht="45" x14ac:dyDescent="0.25">
      <c r="B59" s="115"/>
      <c r="C59" s="80"/>
      <c r="D59" s="81" t="s">
        <v>116</v>
      </c>
      <c r="E59" s="82"/>
      <c r="F59" s="83">
        <v>10</v>
      </c>
      <c r="G59" s="272" t="str">
        <f>IF('Expected Cost'!H20='My Project'!$D$20,"Yes","No")</f>
        <v>Yes</v>
      </c>
      <c r="H59" s="272"/>
      <c r="I59" s="272"/>
      <c r="J59" s="116">
        <f>IF(G59="Yes",F59,0)</f>
        <v>10</v>
      </c>
      <c r="K59" s="50"/>
    </row>
    <row r="60" spans="2:13" ht="30" x14ac:dyDescent="0.25">
      <c r="B60" s="89"/>
      <c r="C60" s="35"/>
      <c r="D60" s="36" t="s">
        <v>118</v>
      </c>
      <c r="E60" s="37"/>
      <c r="F60" s="38">
        <v>8</v>
      </c>
      <c r="G60" s="272" t="str">
        <f>IF('Expected Cost'!H21='My Project'!$D$20,"Yes","No")</f>
        <v>No</v>
      </c>
      <c r="H60" s="272"/>
      <c r="I60" s="272"/>
      <c r="J60" s="90">
        <f>IF(G60="Yes",F60,0)</f>
        <v>0</v>
      </c>
      <c r="K60" s="50"/>
    </row>
    <row r="61" spans="2:13" ht="30" x14ac:dyDescent="0.25">
      <c r="B61" s="89"/>
      <c r="C61" s="35"/>
      <c r="D61" s="36" t="s">
        <v>119</v>
      </c>
      <c r="E61" s="37"/>
      <c r="F61" s="38">
        <v>2</v>
      </c>
      <c r="G61" s="272" t="str">
        <f>IF('Expected Cost'!H22='My Project'!$D$20,"Yes","No")</f>
        <v>No</v>
      </c>
      <c r="H61" s="272"/>
      <c r="I61" s="272"/>
      <c r="J61" s="90">
        <f>IF(G61="Yes",F61,0)</f>
        <v>0</v>
      </c>
      <c r="K61" s="50"/>
    </row>
    <row r="62" spans="2:13" x14ac:dyDescent="0.25">
      <c r="B62" s="91"/>
      <c r="C62" s="39"/>
      <c r="D62" s="40" t="s">
        <v>117</v>
      </c>
      <c r="E62" s="41"/>
      <c r="F62" s="42">
        <v>0</v>
      </c>
      <c r="G62" s="273" t="str">
        <f>IF('Expected Cost'!H23='My Project'!$D$20,"Yes","No")</f>
        <v>No</v>
      </c>
      <c r="H62" s="273"/>
      <c r="I62" s="273"/>
      <c r="J62" s="92">
        <f>IF(G62="Yes",F62,0)</f>
        <v>0</v>
      </c>
      <c r="K62" s="50"/>
    </row>
    <row r="63" spans="2:13" ht="30" x14ac:dyDescent="0.25">
      <c r="B63" s="84" t="s">
        <v>13</v>
      </c>
      <c r="C63" s="85" t="s">
        <v>29</v>
      </c>
      <c r="D63" s="208" t="s">
        <v>211</v>
      </c>
      <c r="E63" s="101" t="s">
        <v>30</v>
      </c>
      <c r="F63" s="102" t="s">
        <v>310</v>
      </c>
      <c r="G63" s="102" t="s">
        <v>312</v>
      </c>
      <c r="H63" s="102" t="s">
        <v>311</v>
      </c>
      <c r="I63" s="101" t="s">
        <v>31</v>
      </c>
      <c r="J63" s="88"/>
      <c r="M63" s="50"/>
    </row>
    <row r="64" spans="2:13" x14ac:dyDescent="0.25">
      <c r="B64" s="89"/>
      <c r="C64" s="35"/>
      <c r="D64" s="36" t="s">
        <v>32</v>
      </c>
      <c r="E64" s="43">
        <v>0</v>
      </c>
      <c r="F64" s="38">
        <v>11</v>
      </c>
      <c r="G64" s="43"/>
      <c r="H64" s="257">
        <f t="shared" ref="H64:H69" si="2">IF(G64="Yes",2,0)</f>
        <v>0</v>
      </c>
      <c r="I64" s="44">
        <f t="shared" ref="I64:I70" si="3">IF(E64&gt;0,E64/SUM(E$64:E$70),0)</f>
        <v>0</v>
      </c>
      <c r="J64" s="169">
        <f t="shared" ref="J64:J69" si="4">I64*(F64+H64)</f>
        <v>0</v>
      </c>
      <c r="M64" s="50"/>
    </row>
    <row r="65" spans="2:13" x14ac:dyDescent="0.25">
      <c r="B65" s="89"/>
      <c r="C65" s="35"/>
      <c r="D65" s="36" t="s">
        <v>33</v>
      </c>
      <c r="E65" s="43">
        <v>0</v>
      </c>
      <c r="F65" s="38">
        <v>11</v>
      </c>
      <c r="G65" s="43"/>
      <c r="H65" s="257">
        <f t="shared" si="2"/>
        <v>0</v>
      </c>
      <c r="I65" s="44">
        <f t="shared" si="3"/>
        <v>0</v>
      </c>
      <c r="J65" s="169">
        <f t="shared" si="4"/>
        <v>0</v>
      </c>
      <c r="M65" s="50"/>
    </row>
    <row r="66" spans="2:13" x14ac:dyDescent="0.25">
      <c r="B66" s="89"/>
      <c r="C66" s="35"/>
      <c r="D66" s="36" t="s">
        <v>34</v>
      </c>
      <c r="E66" s="43">
        <v>0</v>
      </c>
      <c r="F66" s="38">
        <v>11</v>
      </c>
      <c r="G66" s="43"/>
      <c r="H66" s="257">
        <f t="shared" si="2"/>
        <v>0</v>
      </c>
      <c r="I66" s="44">
        <f t="shared" si="3"/>
        <v>0</v>
      </c>
      <c r="J66" s="169">
        <f t="shared" si="4"/>
        <v>0</v>
      </c>
      <c r="M66" s="50"/>
    </row>
    <row r="67" spans="2:13" x14ac:dyDescent="0.25">
      <c r="B67" s="89"/>
      <c r="C67" s="35"/>
      <c r="D67" s="36" t="s">
        <v>308</v>
      </c>
      <c r="E67" s="43">
        <v>0</v>
      </c>
      <c r="F67" s="38">
        <v>9</v>
      </c>
      <c r="G67" s="43"/>
      <c r="H67" s="257">
        <f t="shared" si="2"/>
        <v>0</v>
      </c>
      <c r="I67" s="44">
        <f t="shared" si="3"/>
        <v>0</v>
      </c>
      <c r="J67" s="169">
        <f t="shared" si="4"/>
        <v>0</v>
      </c>
      <c r="M67" s="50"/>
    </row>
    <row r="68" spans="2:13" x14ac:dyDescent="0.25">
      <c r="B68" s="89"/>
      <c r="C68" s="35"/>
      <c r="D68" s="36" t="s">
        <v>35</v>
      </c>
      <c r="E68" s="43">
        <v>0</v>
      </c>
      <c r="F68" s="38">
        <v>6</v>
      </c>
      <c r="G68" s="43"/>
      <c r="H68" s="257">
        <f t="shared" si="2"/>
        <v>0</v>
      </c>
      <c r="I68" s="44">
        <f t="shared" si="3"/>
        <v>0</v>
      </c>
      <c r="J68" s="169">
        <f t="shared" si="4"/>
        <v>0</v>
      </c>
      <c r="M68" s="50"/>
    </row>
    <row r="69" spans="2:13" x14ac:dyDescent="0.25">
      <c r="B69" s="89"/>
      <c r="C69" s="35"/>
      <c r="D69" s="36" t="s">
        <v>36</v>
      </c>
      <c r="E69" s="43">
        <v>10000</v>
      </c>
      <c r="F69" s="38">
        <v>5</v>
      </c>
      <c r="G69" s="43" t="s">
        <v>7</v>
      </c>
      <c r="H69" s="257">
        <f t="shared" si="2"/>
        <v>2</v>
      </c>
      <c r="I69" s="44">
        <f t="shared" si="3"/>
        <v>1</v>
      </c>
      <c r="J69" s="169">
        <f t="shared" si="4"/>
        <v>7</v>
      </c>
      <c r="M69" s="50"/>
    </row>
    <row r="70" spans="2:13" x14ac:dyDescent="0.25">
      <c r="B70" s="91"/>
      <c r="C70" s="39"/>
      <c r="D70" s="40" t="s">
        <v>309</v>
      </c>
      <c r="E70" s="103">
        <v>0</v>
      </c>
      <c r="F70" s="42">
        <v>2</v>
      </c>
      <c r="G70" s="263"/>
      <c r="H70" s="258"/>
      <c r="I70" s="104">
        <f t="shared" si="3"/>
        <v>0</v>
      </c>
      <c r="J70" s="169">
        <f>I70*(F70)</f>
        <v>0</v>
      </c>
      <c r="M70" s="50"/>
    </row>
    <row r="71" spans="2:13" x14ac:dyDescent="0.25">
      <c r="B71" s="84" t="s">
        <v>13</v>
      </c>
      <c r="C71" s="85" t="s">
        <v>216</v>
      </c>
      <c r="D71" s="117" t="s">
        <v>219</v>
      </c>
      <c r="E71" s="86"/>
      <c r="F71" s="87"/>
      <c r="G71" s="87"/>
      <c r="H71" s="87"/>
      <c r="I71" s="87"/>
      <c r="J71" s="88"/>
      <c r="K71" s="50"/>
    </row>
    <row r="72" spans="2:13" ht="30" x14ac:dyDescent="0.25">
      <c r="B72" s="115"/>
      <c r="C72" s="80"/>
      <c r="D72" s="81" t="s">
        <v>214</v>
      </c>
      <c r="E72" s="82"/>
      <c r="F72" s="83">
        <v>3</v>
      </c>
      <c r="G72" s="272" t="s">
        <v>8</v>
      </c>
      <c r="H72" s="272"/>
      <c r="I72" s="272"/>
      <c r="J72" s="116">
        <f t="shared" ref="J72" si="5">IF(G72="Yes",F72,0)</f>
        <v>0</v>
      </c>
      <c r="K72" s="50"/>
    </row>
    <row r="73" spans="2:13" x14ac:dyDescent="0.25">
      <c r="B73" s="89"/>
      <c r="C73" s="35"/>
      <c r="D73" s="36" t="s">
        <v>39</v>
      </c>
      <c r="E73" s="37"/>
      <c r="F73" s="38">
        <v>2</v>
      </c>
      <c r="G73" s="272" t="s">
        <v>8</v>
      </c>
      <c r="H73" s="272"/>
      <c r="I73" s="272"/>
      <c r="J73" s="90">
        <f t="shared" ref="J73:J78" si="6">IF(G73="Yes",F73,0)</f>
        <v>0</v>
      </c>
      <c r="K73" s="50"/>
    </row>
    <row r="74" spans="2:13" x14ac:dyDescent="0.25">
      <c r="B74" s="91"/>
      <c r="C74" s="39"/>
      <c r="D74" s="40" t="s">
        <v>215</v>
      </c>
      <c r="E74" s="41"/>
      <c r="F74" s="42">
        <v>2</v>
      </c>
      <c r="G74" s="273" t="s">
        <v>7</v>
      </c>
      <c r="H74" s="273"/>
      <c r="I74" s="273"/>
      <c r="J74" s="92">
        <f t="shared" si="6"/>
        <v>2</v>
      </c>
      <c r="K74" s="50"/>
    </row>
    <row r="75" spans="2:13" x14ac:dyDescent="0.25">
      <c r="B75" s="84" t="s">
        <v>13</v>
      </c>
      <c r="C75" s="85" t="s">
        <v>41</v>
      </c>
      <c r="D75" s="208" t="s">
        <v>141</v>
      </c>
      <c r="E75" s="86"/>
      <c r="F75" s="87"/>
      <c r="G75" s="87"/>
      <c r="H75" s="87"/>
      <c r="I75" s="87"/>
      <c r="J75" s="88"/>
      <c r="K75" s="50"/>
    </row>
    <row r="76" spans="2:13" x14ac:dyDescent="0.25">
      <c r="B76" s="115"/>
      <c r="C76" s="80"/>
      <c r="D76" s="81" t="s">
        <v>42</v>
      </c>
      <c r="E76" s="82"/>
      <c r="F76" s="83">
        <v>8</v>
      </c>
      <c r="G76" s="272" t="s">
        <v>7</v>
      </c>
      <c r="H76" s="272"/>
      <c r="I76" s="272"/>
      <c r="J76" s="116">
        <f t="shared" ref="J76" si="7">IF(G76="Yes",F76,0)</f>
        <v>8</v>
      </c>
      <c r="K76" s="50"/>
    </row>
    <row r="77" spans="2:13" x14ac:dyDescent="0.25">
      <c r="B77" s="89"/>
      <c r="C77" s="35"/>
      <c r="D77" s="36" t="s">
        <v>43</v>
      </c>
      <c r="E77" s="37"/>
      <c r="F77" s="38">
        <v>5</v>
      </c>
      <c r="G77" s="272" t="s">
        <v>8</v>
      </c>
      <c r="H77" s="272"/>
      <c r="I77" s="272"/>
      <c r="J77" s="90">
        <f t="shared" si="6"/>
        <v>0</v>
      </c>
      <c r="K77" s="50"/>
    </row>
    <row r="78" spans="2:13" x14ac:dyDescent="0.25">
      <c r="B78" s="91"/>
      <c r="C78" s="39"/>
      <c r="D78" s="40" t="s">
        <v>44</v>
      </c>
      <c r="E78" s="41"/>
      <c r="F78" s="42">
        <v>2</v>
      </c>
      <c r="G78" s="273" t="s">
        <v>8</v>
      </c>
      <c r="H78" s="273"/>
      <c r="I78" s="273"/>
      <c r="J78" s="92">
        <f t="shared" si="6"/>
        <v>0</v>
      </c>
      <c r="K78" s="50"/>
    </row>
    <row r="79" spans="2:13" ht="45" x14ac:dyDescent="0.25">
      <c r="B79" s="93" t="s">
        <v>13</v>
      </c>
      <c r="C79" s="94" t="s">
        <v>212</v>
      </c>
      <c r="D79" s="95" t="s">
        <v>213</v>
      </c>
      <c r="E79" s="96"/>
      <c r="F79" s="97">
        <v>2</v>
      </c>
      <c r="G79" s="278" t="s">
        <v>45</v>
      </c>
      <c r="H79" s="278"/>
      <c r="I79" s="278"/>
      <c r="J79" s="98">
        <v>2</v>
      </c>
      <c r="K79" s="50"/>
    </row>
    <row r="80" spans="2:13" ht="30" x14ac:dyDescent="0.25">
      <c r="B80" s="93" t="s">
        <v>13</v>
      </c>
      <c r="C80" s="94" t="s">
        <v>273</v>
      </c>
      <c r="D80" s="95" t="s">
        <v>272</v>
      </c>
      <c r="E80" s="96"/>
      <c r="F80" s="97">
        <v>5</v>
      </c>
      <c r="G80" s="278" t="s">
        <v>45</v>
      </c>
      <c r="H80" s="278"/>
      <c r="I80" s="278"/>
      <c r="J80" s="98">
        <v>4</v>
      </c>
      <c r="K80" s="50"/>
    </row>
    <row r="81" spans="1:11" s="1" customFormat="1" x14ac:dyDescent="0.25">
      <c r="A81" s="23"/>
      <c r="B81" s="23"/>
      <c r="C81" s="23" t="s">
        <v>46</v>
      </c>
      <c r="D81" s="24"/>
      <c r="E81" s="25"/>
      <c r="F81" s="26"/>
      <c r="H81" s="28"/>
      <c r="I81" s="28" t="s">
        <v>46</v>
      </c>
      <c r="J81" s="29">
        <f>SUM(J42:J80)</f>
        <v>49</v>
      </c>
      <c r="K81" s="46" t="str">
        <f>CONCATENATE("out of ",Priorities!C7," possible.")</f>
        <v>out of 77 possible.</v>
      </c>
    </row>
    <row r="82" spans="1:11" s="1" customFormat="1" x14ac:dyDescent="0.25">
      <c r="A82" s="23"/>
      <c r="B82" s="23"/>
      <c r="C82" s="23"/>
      <c r="D82" s="24"/>
      <c r="E82" s="25"/>
      <c r="F82" s="26"/>
      <c r="H82" s="28"/>
      <c r="I82" s="28" t="s">
        <v>10</v>
      </c>
      <c r="J82" s="30">
        <f>Priorities!D7</f>
        <v>1</v>
      </c>
      <c r="K82" s="54"/>
    </row>
    <row r="83" spans="1:11" s="1" customFormat="1" x14ac:dyDescent="0.25">
      <c r="A83" s="23"/>
      <c r="B83" s="23"/>
      <c r="C83" s="23"/>
      <c r="D83" s="24"/>
      <c r="E83" s="25"/>
      <c r="F83" s="26"/>
      <c r="H83" s="28"/>
      <c r="I83" s="28" t="s">
        <v>11</v>
      </c>
      <c r="J83" s="30">
        <f>J82*J81</f>
        <v>49</v>
      </c>
      <c r="K83" s="46" t="str">
        <f>CONCATENATE("out of ",Priorities!E7," possible.")</f>
        <v>out of 77 possible.</v>
      </c>
    </row>
    <row r="84" spans="1:11" s="1" customFormat="1" x14ac:dyDescent="0.25">
      <c r="A84" s="23"/>
      <c r="B84" s="23"/>
      <c r="C84" s="23"/>
      <c r="D84" s="24"/>
      <c r="E84" s="25"/>
      <c r="F84" s="26"/>
      <c r="H84" s="28"/>
      <c r="I84" s="28" t="s">
        <v>12</v>
      </c>
      <c r="J84" s="30">
        <f>Parameters!D$30</f>
        <v>0.1529430559737659</v>
      </c>
      <c r="K84" s="54"/>
    </row>
    <row r="85" spans="1:11" s="1" customFormat="1" x14ac:dyDescent="0.25">
      <c r="A85" s="23"/>
      <c r="B85" s="23"/>
      <c r="C85" s="23"/>
      <c r="D85" s="24"/>
      <c r="E85" s="25"/>
      <c r="F85" s="26"/>
      <c r="H85" s="31"/>
      <c r="I85" s="31" t="s">
        <v>47</v>
      </c>
      <c r="J85" s="32">
        <f>+J81*J84*J82</f>
        <v>7.4942097427145287</v>
      </c>
      <c r="K85" s="46" t="str">
        <f>CONCATENATE("out of ",TEXT(Priorities!$E$7*J84,"##.##")," possible.")</f>
        <v>out of 11.78 possible.</v>
      </c>
    </row>
    <row r="86" spans="1:11" s="1" customFormat="1" x14ac:dyDescent="0.25">
      <c r="A86" s="23"/>
      <c r="B86" s="23"/>
      <c r="C86" s="23"/>
      <c r="D86" s="24"/>
      <c r="E86" s="25"/>
      <c r="F86" s="26"/>
      <c r="G86" s="23"/>
      <c r="H86" s="23"/>
      <c r="I86" s="23"/>
      <c r="J86" s="23"/>
      <c r="K86" s="54"/>
    </row>
    <row r="87" spans="1:11" ht="15" customHeight="1" x14ac:dyDescent="0.25">
      <c r="B87" s="84" t="s">
        <v>48</v>
      </c>
      <c r="C87" s="85" t="s">
        <v>14</v>
      </c>
      <c r="D87" s="276" t="s">
        <v>259</v>
      </c>
      <c r="E87" s="276"/>
      <c r="F87" s="276"/>
      <c r="G87" s="276"/>
      <c r="H87" s="276"/>
      <c r="I87" s="276"/>
      <c r="J87" s="277"/>
      <c r="K87" s="50"/>
    </row>
    <row r="88" spans="1:11" x14ac:dyDescent="0.25">
      <c r="B88" s="115"/>
      <c r="C88" s="80"/>
      <c r="D88" s="81" t="s">
        <v>15</v>
      </c>
      <c r="E88" s="82"/>
      <c r="F88" s="83">
        <v>14</v>
      </c>
      <c r="G88" s="272" t="str">
        <f>IF('My Project'!E86&gt;50,"Yes","No")</f>
        <v>Yes</v>
      </c>
      <c r="H88" s="272"/>
      <c r="I88" s="272"/>
      <c r="J88" s="116">
        <f>IF(G88="Yes",F88,0)</f>
        <v>14</v>
      </c>
      <c r="K88" s="50"/>
    </row>
    <row r="89" spans="1:11" x14ac:dyDescent="0.25">
      <c r="B89" s="89"/>
      <c r="C89" s="35"/>
      <c r="D89" s="36" t="s">
        <v>16</v>
      </c>
      <c r="E89" s="37"/>
      <c r="F89" s="38">
        <v>12</v>
      </c>
      <c r="G89" s="272" t="str">
        <f>IF(AND('My Project'!$E$86&gt;40,'My Project'!$E$86&lt;=50),"Yes","No")</f>
        <v>No</v>
      </c>
      <c r="H89" s="272"/>
      <c r="I89" s="272"/>
      <c r="J89" s="90">
        <f t="shared" ref="J89:J103" si="8">IF(G89="Yes",F89,0)</f>
        <v>0</v>
      </c>
      <c r="K89" s="50"/>
    </row>
    <row r="90" spans="1:11" x14ac:dyDescent="0.25">
      <c r="B90" s="89"/>
      <c r="C90" s="35"/>
      <c r="D90" s="36" t="s">
        <v>17</v>
      </c>
      <c r="E90" s="37"/>
      <c r="F90" s="38">
        <v>9</v>
      </c>
      <c r="G90" s="272" t="str">
        <f>IF(AND('My Project'!$E$86&gt;35,'My Project'!$E$86&lt;=40),"Yes","No")</f>
        <v>No</v>
      </c>
      <c r="H90" s="272"/>
      <c r="I90" s="272"/>
      <c r="J90" s="90">
        <f t="shared" si="8"/>
        <v>0</v>
      </c>
      <c r="K90" s="50"/>
    </row>
    <row r="91" spans="1:11" x14ac:dyDescent="0.25">
      <c r="B91" s="89"/>
      <c r="C91" s="35"/>
      <c r="D91" s="36" t="s">
        <v>18</v>
      </c>
      <c r="E91" s="37"/>
      <c r="F91" s="38">
        <v>7</v>
      </c>
      <c r="G91" s="272" t="str">
        <f>IF(AND('My Project'!$E$86&gt;30,'My Project'!$E$86&lt;=35),"Yes","No")</f>
        <v>No</v>
      </c>
      <c r="H91" s="272"/>
      <c r="I91" s="272"/>
      <c r="J91" s="90">
        <f t="shared" si="8"/>
        <v>0</v>
      </c>
      <c r="K91" s="50"/>
    </row>
    <row r="92" spans="1:11" x14ac:dyDescent="0.25">
      <c r="B92" s="89"/>
      <c r="C92" s="35"/>
      <c r="D92" s="36" t="s">
        <v>19</v>
      </c>
      <c r="E92" s="37"/>
      <c r="F92" s="38">
        <v>5</v>
      </c>
      <c r="G92" s="272" t="str">
        <f>IF(AND('My Project'!$E$86&gt;25,'My Project'!$E$86&lt;=30),"Yes","No")</f>
        <v>No</v>
      </c>
      <c r="H92" s="272"/>
      <c r="I92" s="272"/>
      <c r="J92" s="90">
        <f t="shared" si="8"/>
        <v>0</v>
      </c>
      <c r="K92" s="50"/>
    </row>
    <row r="93" spans="1:11" x14ac:dyDescent="0.25">
      <c r="B93" s="89"/>
      <c r="C93" s="35"/>
      <c r="D93" s="36" t="s">
        <v>20</v>
      </c>
      <c r="E93" s="37"/>
      <c r="F93" s="38">
        <v>2</v>
      </c>
      <c r="G93" s="272" t="str">
        <f>IF(AND('My Project'!$E$86&gt;=20,'My Project'!$E$86&lt;=25),"Yes","No")</f>
        <v>No</v>
      </c>
      <c r="H93" s="272"/>
      <c r="I93" s="272"/>
      <c r="J93" s="90">
        <f t="shared" si="8"/>
        <v>0</v>
      </c>
      <c r="K93" s="50"/>
    </row>
    <row r="94" spans="1:11" x14ac:dyDescent="0.25">
      <c r="B94" s="91"/>
      <c r="C94" s="39"/>
      <c r="D94" s="99" t="s">
        <v>21</v>
      </c>
      <c r="E94" s="100"/>
      <c r="F94" s="42">
        <v>0</v>
      </c>
      <c r="G94" s="273" t="str">
        <f>IF('My Project'!$E$86&lt;20,"Yes","No")</f>
        <v>No</v>
      </c>
      <c r="H94" s="273"/>
      <c r="I94" s="273"/>
      <c r="J94" s="92">
        <f t="shared" si="8"/>
        <v>0</v>
      </c>
      <c r="K94" s="50"/>
    </row>
    <row r="95" spans="1:11" x14ac:dyDescent="0.25">
      <c r="B95" s="84" t="s">
        <v>48</v>
      </c>
      <c r="C95" s="85" t="s">
        <v>22</v>
      </c>
      <c r="D95" s="276" t="s">
        <v>259</v>
      </c>
      <c r="E95" s="276"/>
      <c r="F95" s="276"/>
      <c r="G95" s="276"/>
      <c r="H95" s="276"/>
      <c r="I95" s="276"/>
      <c r="J95" s="277"/>
      <c r="K95" s="50"/>
    </row>
    <row r="96" spans="1:11" x14ac:dyDescent="0.25">
      <c r="B96" s="115"/>
      <c r="C96" s="80"/>
      <c r="D96" s="81" t="s">
        <v>49</v>
      </c>
      <c r="E96" s="82"/>
      <c r="F96" s="83">
        <v>14</v>
      </c>
      <c r="G96" s="272" t="str">
        <f>IF('My Project'!$E$96&gt;=681,"Yes","No")</f>
        <v>No</v>
      </c>
      <c r="H96" s="272"/>
      <c r="I96" s="272"/>
      <c r="J96" s="116">
        <f t="shared" ref="J96" si="9">IF(G96="Yes",F96,0)</f>
        <v>0</v>
      </c>
      <c r="K96" s="50"/>
    </row>
    <row r="97" spans="2:15" x14ac:dyDescent="0.25">
      <c r="B97" s="89"/>
      <c r="C97" s="35"/>
      <c r="D97" s="36" t="s">
        <v>50</v>
      </c>
      <c r="E97" s="37"/>
      <c r="F97" s="38">
        <v>12</v>
      </c>
      <c r="G97" s="272" t="str">
        <f>IF(AND('My Project'!$E$96&gt;600,'My Project'!$E$96&lt;=680),"Yes","No")</f>
        <v>No</v>
      </c>
      <c r="H97" s="272"/>
      <c r="I97" s="272"/>
      <c r="J97" s="90">
        <f t="shared" si="8"/>
        <v>0</v>
      </c>
      <c r="K97" s="50"/>
    </row>
    <row r="98" spans="2:15" x14ac:dyDescent="0.25">
      <c r="B98" s="89"/>
      <c r="C98" s="35"/>
      <c r="D98" s="36" t="s">
        <v>24</v>
      </c>
      <c r="E98" s="37"/>
      <c r="F98" s="38">
        <v>9</v>
      </c>
      <c r="G98" s="272" t="str">
        <f>IF(AND('My Project'!$E$96&gt;525,'My Project'!$E$96&lt;=600),"Yes","No")</f>
        <v>No</v>
      </c>
      <c r="H98" s="272"/>
      <c r="I98" s="272"/>
      <c r="J98" s="90">
        <f t="shared" si="8"/>
        <v>0</v>
      </c>
      <c r="K98" s="50"/>
    </row>
    <row r="99" spans="2:15" x14ac:dyDescent="0.25">
      <c r="B99" s="89"/>
      <c r="C99" s="35"/>
      <c r="D99" s="36" t="s">
        <v>25</v>
      </c>
      <c r="E99" s="37"/>
      <c r="F99" s="38">
        <v>7</v>
      </c>
      <c r="G99" s="272" t="str">
        <f>IF(AND('My Project'!$E$96&gt;475,'My Project'!$E$96&lt;=525),"Yes","No")</f>
        <v>No</v>
      </c>
      <c r="H99" s="272"/>
      <c r="I99" s="272"/>
      <c r="J99" s="90">
        <f t="shared" si="8"/>
        <v>0</v>
      </c>
      <c r="K99" s="50"/>
    </row>
    <row r="100" spans="2:15" x14ac:dyDescent="0.25">
      <c r="B100" s="89"/>
      <c r="C100" s="35"/>
      <c r="D100" s="36" t="s">
        <v>26</v>
      </c>
      <c r="E100" s="37"/>
      <c r="F100" s="38">
        <v>5</v>
      </c>
      <c r="G100" s="272" t="str">
        <f>IF(AND('My Project'!$E$96&gt;450,'My Project'!$E$96&lt;=475),"Yes","No")</f>
        <v>No</v>
      </c>
      <c r="H100" s="272"/>
      <c r="I100" s="272"/>
      <c r="J100" s="90">
        <f t="shared" si="8"/>
        <v>0</v>
      </c>
      <c r="K100" s="50"/>
    </row>
    <row r="101" spans="2:15" x14ac:dyDescent="0.25">
      <c r="B101" s="89"/>
      <c r="C101" s="35"/>
      <c r="D101" s="36" t="s">
        <v>27</v>
      </c>
      <c r="E101" s="37"/>
      <c r="F101" s="38">
        <v>2</v>
      </c>
      <c r="G101" s="272" t="str">
        <f>IF(AND('My Project'!$E$96&gt;350,'My Project'!$E$96&lt;=450),"Yes","No")</f>
        <v>No</v>
      </c>
      <c r="H101" s="272"/>
      <c r="I101" s="272"/>
      <c r="J101" s="90">
        <f t="shared" si="8"/>
        <v>0</v>
      </c>
      <c r="K101" s="50"/>
    </row>
    <row r="102" spans="2:15" x14ac:dyDescent="0.25">
      <c r="B102" s="89"/>
      <c r="C102" s="35"/>
      <c r="D102" s="36" t="s">
        <v>28</v>
      </c>
      <c r="E102" s="37"/>
      <c r="F102" s="38">
        <v>0</v>
      </c>
      <c r="G102" s="272" t="str">
        <f>IF(AND('My Project'!$E$96&gt;275,'My Project'!$E$96&lt;=350),"Yes","No")</f>
        <v>Yes</v>
      </c>
      <c r="H102" s="272"/>
      <c r="I102" s="272"/>
      <c r="J102" s="90">
        <f t="shared" si="8"/>
        <v>0</v>
      </c>
      <c r="K102" s="50"/>
    </row>
    <row r="103" spans="2:15" x14ac:dyDescent="0.25">
      <c r="B103" s="91"/>
      <c r="C103" s="39"/>
      <c r="D103" s="40" t="s">
        <v>51</v>
      </c>
      <c r="E103" s="41"/>
      <c r="F103" s="42">
        <v>-5</v>
      </c>
      <c r="G103" s="273" t="str">
        <f>IF('My Project'!$E$96&lt;=275,"Yes","No")</f>
        <v>No</v>
      </c>
      <c r="H103" s="273"/>
      <c r="I103" s="273"/>
      <c r="J103" s="92">
        <f t="shared" si="8"/>
        <v>0</v>
      </c>
      <c r="K103" s="50"/>
    </row>
    <row r="104" spans="2:15" x14ac:dyDescent="0.25">
      <c r="B104" s="84" t="s">
        <v>48</v>
      </c>
      <c r="C104" s="85" t="s">
        <v>115</v>
      </c>
      <c r="D104" s="208" t="s">
        <v>142</v>
      </c>
      <c r="E104" s="86"/>
      <c r="F104" s="87"/>
      <c r="G104" s="87"/>
      <c r="H104" s="87"/>
      <c r="I104" s="87"/>
      <c r="J104" s="88"/>
      <c r="K104" s="50"/>
    </row>
    <row r="105" spans="2:15" ht="45" x14ac:dyDescent="0.25">
      <c r="B105" s="115"/>
      <c r="C105" s="80"/>
      <c r="D105" s="81" t="s">
        <v>116</v>
      </c>
      <c r="E105" s="82"/>
      <c r="F105" s="83">
        <v>16</v>
      </c>
      <c r="G105" s="272" t="str">
        <f>IF('Expected Cost'!H20='My Project'!$D$20,"Yes","No")</f>
        <v>Yes</v>
      </c>
      <c r="H105" s="272"/>
      <c r="I105" s="272"/>
      <c r="J105" s="116">
        <f>IF(G105="Yes",F105,0)</f>
        <v>16</v>
      </c>
      <c r="K105" s="50"/>
    </row>
    <row r="106" spans="2:15" ht="30" x14ac:dyDescent="0.25">
      <c r="B106" s="89"/>
      <c r="C106" s="35"/>
      <c r="D106" s="36" t="s">
        <v>118</v>
      </c>
      <c r="E106" s="37"/>
      <c r="F106" s="38">
        <v>12</v>
      </c>
      <c r="G106" s="272" t="str">
        <f>IF('Expected Cost'!H21='My Project'!$D$20,"Yes","No")</f>
        <v>No</v>
      </c>
      <c r="H106" s="272"/>
      <c r="I106" s="272"/>
      <c r="J106" s="90">
        <f>IF(G106="Yes",F106,0)</f>
        <v>0</v>
      </c>
      <c r="K106" s="50"/>
    </row>
    <row r="107" spans="2:15" ht="30" x14ac:dyDescent="0.25">
      <c r="B107" s="89"/>
      <c r="C107" s="35"/>
      <c r="D107" s="36" t="s">
        <v>119</v>
      </c>
      <c r="E107" s="37"/>
      <c r="F107" s="38">
        <v>5</v>
      </c>
      <c r="G107" s="272" t="str">
        <f>IF('Expected Cost'!H22='My Project'!$D$20,"Yes","No")</f>
        <v>No</v>
      </c>
      <c r="H107" s="272"/>
      <c r="I107" s="272"/>
      <c r="J107" s="90">
        <f>IF(G107="Yes",F107,0)</f>
        <v>0</v>
      </c>
      <c r="K107" s="50"/>
      <c r="M107" s="17"/>
      <c r="N107" s="179"/>
      <c r="O107" s="180"/>
    </row>
    <row r="108" spans="2:15" x14ac:dyDescent="0.25">
      <c r="B108" s="91"/>
      <c r="C108" s="39"/>
      <c r="D108" s="40" t="s">
        <v>117</v>
      </c>
      <c r="E108" s="41"/>
      <c r="F108" s="42">
        <v>0</v>
      </c>
      <c r="G108" s="273" t="str">
        <f>IF('Expected Cost'!H23='My Project'!$D$20,"Yes","No")</f>
        <v>No</v>
      </c>
      <c r="H108" s="273"/>
      <c r="I108" s="273"/>
      <c r="J108" s="92">
        <f>IF(G108="Yes",F108,0)</f>
        <v>0</v>
      </c>
      <c r="K108" s="50"/>
      <c r="M108" s="173"/>
      <c r="O108" s="178"/>
    </row>
    <row r="109" spans="2:15" ht="30" x14ac:dyDescent="0.25">
      <c r="B109" s="84" t="s">
        <v>48</v>
      </c>
      <c r="C109" s="85" t="s">
        <v>29</v>
      </c>
      <c r="D109" s="208" t="s">
        <v>217</v>
      </c>
      <c r="E109" s="101" t="s">
        <v>30</v>
      </c>
      <c r="F109" s="102" t="s">
        <v>310</v>
      </c>
      <c r="G109" s="101" t="s">
        <v>312</v>
      </c>
      <c r="H109" s="101" t="s">
        <v>311</v>
      </c>
      <c r="I109" s="101" t="s">
        <v>31</v>
      </c>
      <c r="J109" s="88"/>
      <c r="K109" s="50"/>
      <c r="M109" s="173"/>
    </row>
    <row r="110" spans="2:15" x14ac:dyDescent="0.25">
      <c r="B110" s="115"/>
      <c r="C110" s="80"/>
      <c r="D110" s="81" t="s">
        <v>32</v>
      </c>
      <c r="E110" s="43">
        <v>0</v>
      </c>
      <c r="F110" s="83">
        <v>10</v>
      </c>
      <c r="G110" s="105"/>
      <c r="H110" s="254">
        <f>IF(G110="Yes",2,0)</f>
        <v>0</v>
      </c>
      <c r="I110" s="106">
        <f t="shared" ref="I110:I116" si="10">IF(E110&gt;0,E110/SUM(E$110:E$116),0)</f>
        <v>0</v>
      </c>
      <c r="J110" s="168">
        <f>I110*(F110+H110)</f>
        <v>0</v>
      </c>
      <c r="K110" s="50"/>
      <c r="M110" s="173"/>
      <c r="O110" s="178"/>
    </row>
    <row r="111" spans="2:15" x14ac:dyDescent="0.25">
      <c r="B111" s="89"/>
      <c r="C111" s="35"/>
      <c r="D111" s="36" t="s">
        <v>33</v>
      </c>
      <c r="E111" s="43">
        <v>0</v>
      </c>
      <c r="F111" s="38">
        <v>10</v>
      </c>
      <c r="G111" s="43"/>
      <c r="H111" s="255">
        <f t="shared" ref="H111:H115" si="11">IF(G111="Yes",2,0)</f>
        <v>0</v>
      </c>
      <c r="I111" s="44">
        <f t="shared" si="10"/>
        <v>0</v>
      </c>
      <c r="J111" s="169">
        <f t="shared" ref="J111:J115" si="12">I111*(F111+H111)</f>
        <v>0</v>
      </c>
      <c r="K111" s="50"/>
      <c r="M111" s="173"/>
      <c r="O111" s="178"/>
    </row>
    <row r="112" spans="2:15" x14ac:dyDescent="0.25">
      <c r="B112" s="89"/>
      <c r="C112" s="35"/>
      <c r="D112" s="36" t="s">
        <v>34</v>
      </c>
      <c r="E112" s="43">
        <v>0</v>
      </c>
      <c r="F112" s="38">
        <v>10</v>
      </c>
      <c r="G112" s="43"/>
      <c r="H112" s="255">
        <f t="shared" si="11"/>
        <v>0</v>
      </c>
      <c r="I112" s="44">
        <f t="shared" si="10"/>
        <v>0</v>
      </c>
      <c r="J112" s="169">
        <f t="shared" si="12"/>
        <v>0</v>
      </c>
      <c r="K112" s="50"/>
      <c r="M112" s="173"/>
      <c r="O112" s="178"/>
    </row>
    <row r="113" spans="1:15" x14ac:dyDescent="0.25">
      <c r="B113" s="89"/>
      <c r="C113" s="35"/>
      <c r="D113" s="36" t="s">
        <v>308</v>
      </c>
      <c r="E113" s="43">
        <v>0</v>
      </c>
      <c r="F113" s="38">
        <v>7</v>
      </c>
      <c r="G113" s="43"/>
      <c r="H113" s="255">
        <f t="shared" si="11"/>
        <v>0</v>
      </c>
      <c r="I113" s="44">
        <f t="shared" si="10"/>
        <v>0</v>
      </c>
      <c r="J113" s="169">
        <f t="shared" si="12"/>
        <v>0</v>
      </c>
      <c r="K113" s="50"/>
      <c r="M113" s="173"/>
      <c r="N113" s="175"/>
      <c r="O113" s="178"/>
    </row>
    <row r="114" spans="1:15" x14ac:dyDescent="0.25">
      <c r="B114" s="89"/>
      <c r="C114" s="35"/>
      <c r="D114" s="36" t="s">
        <v>35</v>
      </c>
      <c r="E114" s="43">
        <v>10000</v>
      </c>
      <c r="F114" s="38">
        <v>5</v>
      </c>
      <c r="G114" s="43" t="s">
        <v>7</v>
      </c>
      <c r="H114" s="255">
        <f t="shared" si="11"/>
        <v>2</v>
      </c>
      <c r="I114" s="44">
        <f t="shared" si="10"/>
        <v>1</v>
      </c>
      <c r="J114" s="169">
        <f t="shared" si="12"/>
        <v>7</v>
      </c>
      <c r="K114" s="50"/>
      <c r="M114" s="173"/>
      <c r="O114" s="178"/>
    </row>
    <row r="115" spans="1:15" x14ac:dyDescent="0.25">
      <c r="B115" s="89"/>
      <c r="C115" s="35"/>
      <c r="D115" s="36" t="s">
        <v>36</v>
      </c>
      <c r="E115" s="43"/>
      <c r="F115" s="38">
        <v>3</v>
      </c>
      <c r="G115" s="43"/>
      <c r="H115" s="255">
        <f t="shared" si="11"/>
        <v>0</v>
      </c>
      <c r="I115" s="44">
        <f t="shared" si="10"/>
        <v>0</v>
      </c>
      <c r="J115" s="169">
        <f t="shared" si="12"/>
        <v>0</v>
      </c>
      <c r="K115" s="50"/>
      <c r="M115" s="173"/>
      <c r="O115" s="178"/>
    </row>
    <row r="116" spans="1:15" x14ac:dyDescent="0.25">
      <c r="B116" s="91"/>
      <c r="C116" s="39"/>
      <c r="D116" s="40" t="s">
        <v>309</v>
      </c>
      <c r="E116" s="103">
        <v>0</v>
      </c>
      <c r="F116" s="42">
        <v>2</v>
      </c>
      <c r="G116" s="263"/>
      <c r="H116" s="256"/>
      <c r="I116" s="104">
        <f t="shared" si="10"/>
        <v>0</v>
      </c>
      <c r="J116" s="170">
        <f>I116*(F116)</f>
        <v>0</v>
      </c>
      <c r="K116" s="50"/>
      <c r="M116" s="173"/>
      <c r="N116" s="175"/>
      <c r="O116" s="178"/>
    </row>
    <row r="117" spans="1:15" x14ac:dyDescent="0.25">
      <c r="B117" s="84" t="s">
        <v>48</v>
      </c>
      <c r="C117" s="85" t="s">
        <v>37</v>
      </c>
      <c r="D117" s="117" t="s">
        <v>218</v>
      </c>
      <c r="E117" s="86"/>
      <c r="F117" s="87"/>
      <c r="G117" s="87"/>
      <c r="H117" s="87"/>
      <c r="I117" s="87"/>
      <c r="J117" s="88"/>
      <c r="K117" s="50"/>
      <c r="M117" s="173"/>
    </row>
    <row r="118" spans="1:15" x14ac:dyDescent="0.25">
      <c r="B118" s="115"/>
      <c r="C118" s="80"/>
      <c r="D118" s="81" t="s">
        <v>38</v>
      </c>
      <c r="E118" s="82"/>
      <c r="F118" s="83">
        <v>6</v>
      </c>
      <c r="G118" s="272" t="s">
        <v>8</v>
      </c>
      <c r="H118" s="272"/>
      <c r="I118" s="272"/>
      <c r="J118" s="116">
        <f t="shared" ref="J118" si="13">IF(G118="Yes",F118,0)</f>
        <v>0</v>
      </c>
      <c r="K118" s="50"/>
    </row>
    <row r="119" spans="1:15" x14ac:dyDescent="0.25">
      <c r="B119" s="89"/>
      <c r="C119" s="35"/>
      <c r="D119" s="36" t="s">
        <v>39</v>
      </c>
      <c r="E119" s="37"/>
      <c r="F119" s="38">
        <v>5</v>
      </c>
      <c r="G119" s="272" t="s">
        <v>8</v>
      </c>
      <c r="H119" s="272"/>
      <c r="I119" s="272"/>
      <c r="J119" s="90">
        <f t="shared" ref="J119:J120" si="14">IF(G119="Yes",F119,0)</f>
        <v>0</v>
      </c>
      <c r="K119" s="50"/>
    </row>
    <row r="120" spans="1:15" x14ac:dyDescent="0.25">
      <c r="B120" s="89"/>
      <c r="C120" s="35"/>
      <c r="D120" s="36" t="s">
        <v>40</v>
      </c>
      <c r="E120" s="37"/>
      <c r="F120" s="38">
        <v>3</v>
      </c>
      <c r="G120" s="273" t="s">
        <v>8</v>
      </c>
      <c r="H120" s="273"/>
      <c r="I120" s="273"/>
      <c r="J120" s="90">
        <f t="shared" si="14"/>
        <v>0</v>
      </c>
      <c r="K120" s="50"/>
    </row>
    <row r="121" spans="1:15" x14ac:dyDescent="0.25">
      <c r="B121" s="84" t="s">
        <v>48</v>
      </c>
      <c r="C121" s="85" t="s">
        <v>212</v>
      </c>
      <c r="D121" s="207" t="s">
        <v>275</v>
      </c>
      <c r="E121" s="86"/>
      <c r="F121" s="87"/>
      <c r="G121" s="87"/>
      <c r="H121" s="87"/>
      <c r="I121" s="87"/>
      <c r="J121" s="88"/>
      <c r="K121" s="50"/>
    </row>
    <row r="122" spans="1:15" ht="45" x14ac:dyDescent="0.25">
      <c r="B122" s="91"/>
      <c r="C122" s="240"/>
      <c r="D122" s="40" t="s">
        <v>213</v>
      </c>
      <c r="E122" s="41"/>
      <c r="F122" s="42">
        <v>2</v>
      </c>
      <c r="G122" s="273" t="s">
        <v>45</v>
      </c>
      <c r="H122" s="273"/>
      <c r="I122" s="273"/>
      <c r="J122" s="92">
        <v>1.5</v>
      </c>
      <c r="K122" s="50"/>
    </row>
    <row r="123" spans="1:15" x14ac:dyDescent="0.25">
      <c r="B123" s="84" t="s">
        <v>48</v>
      </c>
      <c r="C123" s="85" t="s">
        <v>273</v>
      </c>
      <c r="D123" s="207" t="s">
        <v>274</v>
      </c>
      <c r="E123" s="86"/>
      <c r="F123" s="87"/>
      <c r="G123" s="87"/>
      <c r="H123" s="87"/>
      <c r="I123" s="87"/>
      <c r="J123" s="88"/>
      <c r="K123" s="50"/>
    </row>
    <row r="124" spans="1:15" ht="30" x14ac:dyDescent="0.25">
      <c r="B124" s="91"/>
      <c r="C124" s="240"/>
      <c r="D124" s="241" t="s">
        <v>272</v>
      </c>
      <c r="E124" s="242"/>
      <c r="F124" s="42">
        <v>5</v>
      </c>
      <c r="G124" s="273" t="s">
        <v>45</v>
      </c>
      <c r="H124" s="273"/>
      <c r="I124" s="273"/>
      <c r="J124" s="92">
        <v>4</v>
      </c>
      <c r="K124" s="50"/>
    </row>
    <row r="125" spans="1:15" s="1" customFormat="1" x14ac:dyDescent="0.25">
      <c r="A125" s="23"/>
      <c r="B125" s="23"/>
      <c r="C125" s="23" t="s">
        <v>54</v>
      </c>
      <c r="D125" s="24"/>
      <c r="E125" s="25"/>
      <c r="F125" s="26"/>
      <c r="H125" s="28"/>
      <c r="I125" s="28" t="s">
        <v>54</v>
      </c>
      <c r="J125" s="29">
        <f>SUM(J87:J124)</f>
        <v>42.5</v>
      </c>
      <c r="K125" s="46" t="str">
        <f>CONCATENATE("out of ",Priorities!$C$8," possible.")</f>
        <v>out of 77 possible.</v>
      </c>
    </row>
    <row r="126" spans="1:15" s="1" customFormat="1" x14ac:dyDescent="0.25">
      <c r="A126" s="23"/>
      <c r="B126" s="23"/>
      <c r="C126" s="23"/>
      <c r="D126" s="24"/>
      <c r="E126" s="25"/>
      <c r="F126" s="26"/>
      <c r="H126" s="28"/>
      <c r="I126" s="28" t="s">
        <v>10</v>
      </c>
      <c r="J126" s="30">
        <f>Priorities!D8</f>
        <v>1</v>
      </c>
      <c r="K126" s="54"/>
    </row>
    <row r="127" spans="1:15" s="1" customFormat="1" x14ac:dyDescent="0.25">
      <c r="A127" s="23"/>
      <c r="B127" s="23"/>
      <c r="C127" s="23"/>
      <c r="D127" s="24"/>
      <c r="E127" s="25"/>
      <c r="F127" s="26"/>
      <c r="H127" s="28"/>
      <c r="I127" s="28" t="s">
        <v>11</v>
      </c>
      <c r="J127" s="30">
        <f>J126*J125</f>
        <v>42.5</v>
      </c>
      <c r="K127" s="46" t="str">
        <f>CONCATENATE("out of ",Priorities!$E$8," possible.")</f>
        <v>out of 77 possible.</v>
      </c>
    </row>
    <row r="128" spans="1:15" s="1" customFormat="1" x14ac:dyDescent="0.25">
      <c r="A128" s="23"/>
      <c r="B128" s="23"/>
      <c r="C128" s="23"/>
      <c r="D128" s="24"/>
      <c r="E128" s="25"/>
      <c r="F128" s="26"/>
      <c r="H128" s="28"/>
      <c r="I128" s="28" t="s">
        <v>12</v>
      </c>
      <c r="J128" s="30">
        <f>Parameters!D$31</f>
        <v>0.1529430559737659</v>
      </c>
      <c r="K128" s="54"/>
    </row>
    <row r="129" spans="1:15" s="1" customFormat="1" x14ac:dyDescent="0.25">
      <c r="A129" s="23"/>
      <c r="B129" s="23"/>
      <c r="C129" s="23"/>
      <c r="D129" s="24"/>
      <c r="E129" s="25"/>
      <c r="F129" s="26"/>
      <c r="H129" s="31"/>
      <c r="I129" s="31" t="s">
        <v>55</v>
      </c>
      <c r="J129" s="32">
        <f>J125*J128*J126</f>
        <v>6.5000798788850505</v>
      </c>
      <c r="K129" s="46" t="str">
        <f>CONCATENATE("out of ",TEXT(Priorities!$E$8*Parameters!$D$31,"##.##")," possible.")</f>
        <v>out of 11.78 possible.</v>
      </c>
    </row>
    <row r="130" spans="1:15" s="1" customFormat="1" x14ac:dyDescent="0.25">
      <c r="A130" s="23"/>
      <c r="B130" s="23"/>
      <c r="C130" s="23"/>
      <c r="D130" s="24"/>
      <c r="E130" s="25"/>
      <c r="F130" s="26"/>
      <c r="G130" s="23"/>
      <c r="H130" s="23"/>
      <c r="I130" s="23"/>
      <c r="J130" s="23"/>
      <c r="K130" s="54"/>
    </row>
    <row r="131" spans="1:15" x14ac:dyDescent="0.25">
      <c r="B131" s="84" t="s">
        <v>56</v>
      </c>
      <c r="C131" s="85"/>
      <c r="D131" s="207" t="s">
        <v>252</v>
      </c>
      <c r="E131" s="86"/>
      <c r="F131" s="87"/>
      <c r="G131" s="87"/>
      <c r="H131" s="87"/>
      <c r="I131" s="87"/>
      <c r="J131" s="88"/>
      <c r="K131" s="50"/>
    </row>
    <row r="132" spans="1:15" x14ac:dyDescent="0.25">
      <c r="B132" s="115"/>
      <c r="C132" s="274" t="s">
        <v>320</v>
      </c>
      <c r="D132" s="274"/>
      <c r="E132" s="274"/>
      <c r="F132" s="274"/>
      <c r="G132" s="274"/>
      <c r="H132" s="274"/>
      <c r="I132" s="274"/>
      <c r="J132" s="275"/>
      <c r="K132" s="50"/>
    </row>
    <row r="133" spans="1:15" ht="30" x14ac:dyDescent="0.25">
      <c r="B133" s="115"/>
      <c r="C133" s="80"/>
      <c r="D133" s="81" t="s">
        <v>255</v>
      </c>
      <c r="E133" s="82"/>
      <c r="F133" s="83">
        <v>18</v>
      </c>
      <c r="G133" s="272" t="str">
        <f>IF(OR('My Project'!$F$70&gt;17,'My Project'!$F$69&gt;23),"Yes","No")</f>
        <v>No</v>
      </c>
      <c r="H133" s="272"/>
      <c r="I133" s="272"/>
      <c r="J133" s="116">
        <f>IF(G133="Yes",F133,0)</f>
        <v>0</v>
      </c>
      <c r="K133" s="50"/>
    </row>
    <row r="134" spans="1:15" ht="45" x14ac:dyDescent="0.25">
      <c r="B134" s="89"/>
      <c r="C134" s="35"/>
      <c r="D134" s="36" t="s">
        <v>253</v>
      </c>
      <c r="E134" s="37"/>
      <c r="F134" s="38">
        <v>24</v>
      </c>
      <c r="G134" s="272" t="str">
        <f>IF(AND(AND('My Project'!$F$70&gt;=15,'My Project'!$F$70&lt;17),AND('My Project'!$F$69&gt;=21),'My Project'!$F$69&lt;23),"Yes","No")</f>
        <v>Yes</v>
      </c>
      <c r="H134" s="272"/>
      <c r="I134" s="272"/>
      <c r="J134" s="90">
        <f t="shared" ref="J134:J153" si="15">IF(G134="Yes",F134,0)</f>
        <v>24</v>
      </c>
      <c r="K134" s="50"/>
    </row>
    <row r="135" spans="1:15" ht="45" x14ac:dyDescent="0.25">
      <c r="B135" s="89"/>
      <c r="C135" s="35"/>
      <c r="D135" s="36" t="s">
        <v>254</v>
      </c>
      <c r="E135" s="37"/>
      <c r="F135" s="38">
        <v>12</v>
      </c>
      <c r="G135" s="272" t="str">
        <f>IF(AND(AND('My Project'!$F$70&gt;=12,'My Project'!$F$70&lt;15),AND('My Project'!$F$69&gt;=19),'My Project'!$F$69&lt;21),"Yes","No")</f>
        <v>No</v>
      </c>
      <c r="H135" s="272"/>
      <c r="I135" s="272"/>
      <c r="J135" s="90">
        <f t="shared" si="15"/>
        <v>0</v>
      </c>
      <c r="K135" s="50"/>
    </row>
    <row r="136" spans="1:15" ht="30" x14ac:dyDescent="0.25">
      <c r="B136" s="89"/>
      <c r="C136" s="35"/>
      <c r="D136" s="36" t="s">
        <v>256</v>
      </c>
      <c r="E136" s="37"/>
      <c r="F136" s="38">
        <v>0</v>
      </c>
      <c r="G136" s="273" t="str">
        <f>IF(OR('My Project'!$F$70&lt;12,'My Project'!$F$69&lt;19),"Yes","No")</f>
        <v>No</v>
      </c>
      <c r="H136" s="273"/>
      <c r="I136" s="273"/>
      <c r="J136" s="90">
        <f t="shared" si="15"/>
        <v>0</v>
      </c>
      <c r="K136" s="50"/>
    </row>
    <row r="137" spans="1:15" ht="30" x14ac:dyDescent="0.25">
      <c r="B137" s="84" t="s">
        <v>56</v>
      </c>
      <c r="C137" s="85" t="s">
        <v>29</v>
      </c>
      <c r="D137" s="207" t="s">
        <v>217</v>
      </c>
      <c r="E137" s="101" t="s">
        <v>30</v>
      </c>
      <c r="F137" s="102" t="s">
        <v>310</v>
      </c>
      <c r="G137" s="101" t="s">
        <v>312</v>
      </c>
      <c r="H137" s="101" t="s">
        <v>311</v>
      </c>
      <c r="I137" s="101" t="s">
        <v>31</v>
      </c>
      <c r="J137" s="88"/>
      <c r="K137" s="50"/>
      <c r="M137" s="173"/>
    </row>
    <row r="138" spans="1:15" x14ac:dyDescent="0.25">
      <c r="B138" s="115"/>
      <c r="C138" s="80"/>
      <c r="D138" s="81" t="s">
        <v>32</v>
      </c>
      <c r="E138" s="105">
        <v>35000</v>
      </c>
      <c r="F138" s="83">
        <v>10</v>
      </c>
      <c r="G138" s="105" t="s">
        <v>7</v>
      </c>
      <c r="H138" s="254">
        <f>IF(G138="Yes",2,0)</f>
        <v>2</v>
      </c>
      <c r="I138" s="106">
        <f t="shared" ref="I138:I144" si="16">IF(E138&gt;0,E138/SUM(E$138:E$144),0)</f>
        <v>0.7</v>
      </c>
      <c r="J138" s="168">
        <f>I138*(F138+H138)</f>
        <v>8.3999999999999986</v>
      </c>
      <c r="K138" s="50"/>
      <c r="M138" s="173"/>
      <c r="O138" s="178"/>
    </row>
    <row r="139" spans="1:15" x14ac:dyDescent="0.25">
      <c r="B139" s="89"/>
      <c r="C139" s="35"/>
      <c r="D139" s="36" t="s">
        <v>33</v>
      </c>
      <c r="E139" s="43">
        <v>15000</v>
      </c>
      <c r="F139" s="38">
        <v>10</v>
      </c>
      <c r="G139" s="43" t="s">
        <v>7</v>
      </c>
      <c r="H139" s="255">
        <f t="shared" ref="H139:H143" si="17">IF(G139="Yes",2,0)</f>
        <v>2</v>
      </c>
      <c r="I139" s="44">
        <f t="shared" si="16"/>
        <v>0.3</v>
      </c>
      <c r="J139" s="169">
        <f t="shared" ref="J139:J143" si="18">I139*(F139+H139)</f>
        <v>3.5999999999999996</v>
      </c>
      <c r="K139" s="50"/>
      <c r="M139" s="173"/>
      <c r="O139" s="178"/>
    </row>
    <row r="140" spans="1:15" x14ac:dyDescent="0.25">
      <c r="B140" s="89"/>
      <c r="C140" s="35"/>
      <c r="D140" s="36" t="s">
        <v>34</v>
      </c>
      <c r="E140" s="43">
        <v>0</v>
      </c>
      <c r="F140" s="38">
        <v>10</v>
      </c>
      <c r="G140" s="43"/>
      <c r="H140" s="255">
        <f t="shared" si="17"/>
        <v>0</v>
      </c>
      <c r="I140" s="44">
        <f t="shared" si="16"/>
        <v>0</v>
      </c>
      <c r="J140" s="169">
        <f t="shared" si="18"/>
        <v>0</v>
      </c>
      <c r="K140" s="50"/>
      <c r="M140" s="173"/>
      <c r="O140" s="178"/>
    </row>
    <row r="141" spans="1:15" x14ac:dyDescent="0.25">
      <c r="B141" s="89"/>
      <c r="C141" s="35"/>
      <c r="D141" s="36" t="s">
        <v>308</v>
      </c>
      <c r="E141" s="43">
        <v>0</v>
      </c>
      <c r="F141" s="38">
        <v>7</v>
      </c>
      <c r="G141" s="43"/>
      <c r="H141" s="255">
        <f t="shared" si="17"/>
        <v>0</v>
      </c>
      <c r="I141" s="44">
        <f t="shared" si="16"/>
        <v>0</v>
      </c>
      <c r="J141" s="169">
        <f t="shared" si="18"/>
        <v>0</v>
      </c>
      <c r="K141" s="50"/>
      <c r="M141" s="173"/>
      <c r="N141" s="175"/>
      <c r="O141" s="178"/>
    </row>
    <row r="142" spans="1:15" x14ac:dyDescent="0.25">
      <c r="B142" s="89"/>
      <c r="C142" s="35"/>
      <c r="D142" s="36" t="s">
        <v>35</v>
      </c>
      <c r="E142" s="43">
        <v>0</v>
      </c>
      <c r="F142" s="38">
        <v>5</v>
      </c>
      <c r="G142" s="43"/>
      <c r="H142" s="255">
        <f t="shared" si="17"/>
        <v>0</v>
      </c>
      <c r="I142" s="44">
        <f t="shared" si="16"/>
        <v>0</v>
      </c>
      <c r="J142" s="169">
        <f t="shared" si="18"/>
        <v>0</v>
      </c>
      <c r="K142" s="50"/>
      <c r="M142" s="173"/>
      <c r="O142" s="178"/>
    </row>
    <row r="143" spans="1:15" x14ac:dyDescent="0.25">
      <c r="B143" s="89"/>
      <c r="C143" s="35"/>
      <c r="D143" s="36" t="s">
        <v>36</v>
      </c>
      <c r="E143" s="43">
        <v>0</v>
      </c>
      <c r="F143" s="38">
        <v>3</v>
      </c>
      <c r="G143" s="43"/>
      <c r="H143" s="255">
        <f t="shared" si="17"/>
        <v>0</v>
      </c>
      <c r="I143" s="44">
        <f t="shared" si="16"/>
        <v>0</v>
      </c>
      <c r="J143" s="169">
        <f t="shared" si="18"/>
        <v>0</v>
      </c>
      <c r="K143" s="50"/>
      <c r="M143" s="173"/>
      <c r="O143" s="178"/>
    </row>
    <row r="144" spans="1:15" x14ac:dyDescent="0.25">
      <c r="B144" s="91"/>
      <c r="C144" s="39"/>
      <c r="D144" s="40" t="s">
        <v>309</v>
      </c>
      <c r="E144" s="103">
        <v>0</v>
      </c>
      <c r="F144" s="42">
        <v>2</v>
      </c>
      <c r="G144" s="263"/>
      <c r="H144" s="256"/>
      <c r="I144" s="104">
        <f t="shared" si="16"/>
        <v>0</v>
      </c>
      <c r="J144" s="170">
        <f>I144*(F144)</f>
        <v>0</v>
      </c>
      <c r="K144" s="50"/>
      <c r="M144" s="173"/>
      <c r="N144" s="175"/>
      <c r="O144" s="178"/>
    </row>
    <row r="145" spans="1:11" x14ac:dyDescent="0.25">
      <c r="B145" s="115"/>
      <c r="C145" s="80"/>
      <c r="D145" s="81"/>
      <c r="E145" s="82"/>
      <c r="F145" s="83"/>
      <c r="G145" s="83"/>
      <c r="H145" s="83"/>
      <c r="I145" s="83"/>
      <c r="J145" s="116"/>
      <c r="K145" s="50"/>
    </row>
    <row r="146" spans="1:11" x14ac:dyDescent="0.25">
      <c r="B146" s="84" t="s">
        <v>56</v>
      </c>
      <c r="C146" s="85" t="s">
        <v>52</v>
      </c>
      <c r="D146" s="117" t="s">
        <v>220</v>
      </c>
      <c r="E146" s="86"/>
      <c r="F146" s="87"/>
      <c r="G146" s="87"/>
      <c r="H146" s="87"/>
      <c r="I146" s="87"/>
      <c r="J146" s="88"/>
      <c r="K146" s="50"/>
    </row>
    <row r="147" spans="1:11" ht="30" x14ac:dyDescent="0.25">
      <c r="B147" s="115"/>
      <c r="C147" s="80"/>
      <c r="D147" s="81" t="s">
        <v>53</v>
      </c>
      <c r="E147" s="82"/>
      <c r="F147" s="83">
        <v>5</v>
      </c>
      <c r="G147" s="272" t="s">
        <v>45</v>
      </c>
      <c r="H147" s="272"/>
      <c r="I147" s="272"/>
      <c r="J147" s="116">
        <v>5</v>
      </c>
      <c r="K147" s="50"/>
    </row>
    <row r="148" spans="1:11" ht="30" x14ac:dyDescent="0.25">
      <c r="B148" s="89"/>
      <c r="C148" s="35"/>
      <c r="D148" s="36" t="s">
        <v>276</v>
      </c>
      <c r="E148" s="37"/>
      <c r="F148" s="38">
        <v>5</v>
      </c>
      <c r="G148" s="272" t="s">
        <v>45</v>
      </c>
      <c r="H148" s="272"/>
      <c r="I148" s="272"/>
      <c r="J148" s="90">
        <v>4</v>
      </c>
      <c r="K148" s="50"/>
    </row>
    <row r="149" spans="1:11" ht="30" x14ac:dyDescent="0.25">
      <c r="B149" s="89"/>
      <c r="C149" s="35"/>
      <c r="D149" s="36" t="s">
        <v>57</v>
      </c>
      <c r="E149" s="37"/>
      <c r="F149" s="38">
        <v>5</v>
      </c>
      <c r="G149" s="272" t="s">
        <v>45</v>
      </c>
      <c r="H149" s="272"/>
      <c r="I149" s="272"/>
      <c r="J149" s="90">
        <v>5</v>
      </c>
      <c r="K149" s="50"/>
    </row>
    <row r="150" spans="1:11" x14ac:dyDescent="0.25">
      <c r="B150" s="89"/>
      <c r="C150" s="35"/>
      <c r="D150" s="36" t="s">
        <v>58</v>
      </c>
      <c r="E150" s="37"/>
      <c r="F150" s="38">
        <v>2</v>
      </c>
      <c r="G150" s="272" t="s">
        <v>7</v>
      </c>
      <c r="H150" s="272"/>
      <c r="I150" s="272"/>
      <c r="J150" s="90">
        <f t="shared" si="15"/>
        <v>2</v>
      </c>
      <c r="K150" s="50"/>
    </row>
    <row r="151" spans="1:11" x14ac:dyDescent="0.25">
      <c r="B151" s="89"/>
      <c r="C151" s="35"/>
      <c r="D151" s="36" t="s">
        <v>59</v>
      </c>
      <c r="E151" s="37"/>
      <c r="F151" s="38">
        <v>2</v>
      </c>
      <c r="G151" s="272" t="s">
        <v>7</v>
      </c>
      <c r="H151" s="272"/>
      <c r="I151" s="272"/>
      <c r="J151" s="90">
        <f t="shared" si="15"/>
        <v>2</v>
      </c>
      <c r="K151" s="50"/>
    </row>
    <row r="152" spans="1:11" x14ac:dyDescent="0.25">
      <c r="B152" s="89"/>
      <c r="C152" s="35"/>
      <c r="D152" s="36" t="s">
        <v>60</v>
      </c>
      <c r="E152" s="37"/>
      <c r="F152" s="38">
        <v>3</v>
      </c>
      <c r="G152" s="272" t="s">
        <v>7</v>
      </c>
      <c r="H152" s="272"/>
      <c r="I152" s="272"/>
      <c r="J152" s="90">
        <f t="shared" si="15"/>
        <v>3</v>
      </c>
      <c r="K152" s="50"/>
    </row>
    <row r="153" spans="1:11" x14ac:dyDescent="0.25">
      <c r="B153" s="91"/>
      <c r="C153" s="39"/>
      <c r="D153" s="40" t="s">
        <v>61</v>
      </c>
      <c r="E153" s="41"/>
      <c r="F153" s="42">
        <v>2</v>
      </c>
      <c r="G153" s="273" t="s">
        <v>8</v>
      </c>
      <c r="H153" s="273"/>
      <c r="I153" s="273"/>
      <c r="J153" s="92">
        <f t="shared" si="15"/>
        <v>0</v>
      </c>
      <c r="K153" s="50"/>
    </row>
    <row r="154" spans="1:11" s="6" customFormat="1" x14ac:dyDescent="0.25">
      <c r="B154" s="84" t="s">
        <v>56</v>
      </c>
      <c r="C154" s="85" t="s">
        <v>115</v>
      </c>
      <c r="D154" s="117" t="s">
        <v>257</v>
      </c>
      <c r="E154" s="107"/>
      <c r="F154" s="87"/>
      <c r="G154" s="87"/>
      <c r="H154" s="87"/>
      <c r="I154" s="87"/>
      <c r="J154" s="88"/>
      <c r="K154" s="50"/>
    </row>
    <row r="155" spans="1:11" s="6" customFormat="1" ht="45" x14ac:dyDescent="0.25">
      <c r="B155" s="89"/>
      <c r="C155" s="35"/>
      <c r="D155" s="36" t="s">
        <v>116</v>
      </c>
      <c r="E155" s="37"/>
      <c r="F155" s="38">
        <v>17</v>
      </c>
      <c r="G155" s="272" t="str">
        <f>IF('Expected Cost'!H20='My Project'!$D$20,"Yes","No")</f>
        <v>Yes</v>
      </c>
      <c r="H155" s="272"/>
      <c r="I155" s="272"/>
      <c r="J155" s="90">
        <f>IF(G155="Yes",F155,0)</f>
        <v>17</v>
      </c>
      <c r="K155" s="50"/>
    </row>
    <row r="156" spans="1:11" s="6" customFormat="1" ht="30" x14ac:dyDescent="0.25">
      <c r="B156" s="89"/>
      <c r="C156" s="35"/>
      <c r="D156" s="36" t="s">
        <v>118</v>
      </c>
      <c r="E156" s="37"/>
      <c r="F156" s="38">
        <v>12</v>
      </c>
      <c r="G156" s="272" t="str">
        <f>IF('Expected Cost'!H21='My Project'!$D$20,"Yes","No")</f>
        <v>No</v>
      </c>
      <c r="H156" s="272"/>
      <c r="I156" s="272"/>
      <c r="J156" s="90">
        <f>IF(G156="Yes",F156,0)</f>
        <v>0</v>
      </c>
      <c r="K156" s="50"/>
    </row>
    <row r="157" spans="1:11" s="6" customFormat="1" ht="30" x14ac:dyDescent="0.25">
      <c r="B157" s="89"/>
      <c r="C157" s="35"/>
      <c r="D157" s="36" t="s">
        <v>119</v>
      </c>
      <c r="E157" s="37"/>
      <c r="F157" s="38">
        <v>5</v>
      </c>
      <c r="G157" s="272" t="str">
        <f>IF('Expected Cost'!H22='My Project'!$D$20,"Yes","No")</f>
        <v>No</v>
      </c>
      <c r="H157" s="272"/>
      <c r="I157" s="272"/>
      <c r="J157" s="90">
        <f>IF(G157="Yes",F157,0)</f>
        <v>0</v>
      </c>
      <c r="K157" s="50"/>
    </row>
    <row r="158" spans="1:11" s="6" customFormat="1" x14ac:dyDescent="0.25">
      <c r="B158" s="91"/>
      <c r="C158" s="39"/>
      <c r="D158" s="40" t="s">
        <v>117</v>
      </c>
      <c r="E158" s="41"/>
      <c r="F158" s="42">
        <v>0</v>
      </c>
      <c r="G158" s="273" t="str">
        <f>IF('Expected Cost'!H23='My Project'!$D$20,"Yes","No")</f>
        <v>No</v>
      </c>
      <c r="H158" s="273"/>
      <c r="I158" s="273"/>
      <c r="J158" s="92">
        <f>IF(G158="Yes",F158,0)</f>
        <v>0</v>
      </c>
      <c r="K158" s="50"/>
    </row>
    <row r="159" spans="1:11" s="1" customFormat="1" x14ac:dyDescent="0.25">
      <c r="A159" s="23"/>
      <c r="B159" s="23"/>
      <c r="C159" s="23" t="s">
        <v>62</v>
      </c>
      <c r="D159" s="24"/>
      <c r="E159" s="25"/>
      <c r="F159" s="26"/>
      <c r="H159" s="28"/>
      <c r="I159" s="28" t="s">
        <v>62</v>
      </c>
      <c r="J159" s="29">
        <f>SUM(J131:J158)</f>
        <v>74</v>
      </c>
      <c r="K159" s="46" t="str">
        <f>CONCATENATE("out of ",Priorities!C9," possible.")</f>
        <v>out of 77 possible.</v>
      </c>
    </row>
    <row r="160" spans="1:11" x14ac:dyDescent="0.25">
      <c r="H160" s="28"/>
      <c r="I160" s="28" t="s">
        <v>10</v>
      </c>
      <c r="J160" s="30">
        <f>Priorities!D9</f>
        <v>1</v>
      </c>
      <c r="K160" s="50"/>
    </row>
    <row r="161" spans="4:13" x14ac:dyDescent="0.25">
      <c r="H161" s="28"/>
      <c r="I161" s="28" t="s">
        <v>11</v>
      </c>
      <c r="J161" s="30">
        <f>J160*J159</f>
        <v>74</v>
      </c>
      <c r="K161" s="46" t="str">
        <f>CONCATENATE("out of ",Priorities!$E$9," possible.")</f>
        <v>out of 77 possible.</v>
      </c>
    </row>
    <row r="162" spans="4:13" x14ac:dyDescent="0.25">
      <c r="H162" s="28"/>
      <c r="I162" s="28" t="s">
        <v>12</v>
      </c>
      <c r="J162" s="30">
        <f>Parameters!D$32</f>
        <v>0.65765514068719322</v>
      </c>
      <c r="K162" s="50"/>
    </row>
    <row r="163" spans="4:13" x14ac:dyDescent="0.25">
      <c r="H163" s="31"/>
      <c r="I163" s="31" t="s">
        <v>63</v>
      </c>
      <c r="J163" s="32">
        <f>J159*J162*J160</f>
        <v>48.666480410852301</v>
      </c>
      <c r="K163" s="46" t="str">
        <f>CONCATENATE("out of ",TEXT(Priorities!$E$9*Parameters!D32,"##.##")," possible.")</f>
        <v>out of 50.64 possible.</v>
      </c>
    </row>
    <row r="164" spans="4:13" x14ac:dyDescent="0.25">
      <c r="K164" s="50"/>
    </row>
    <row r="165" spans="4:13" x14ac:dyDescent="0.25">
      <c r="K165" s="50"/>
    </row>
    <row r="166" spans="4:13" x14ac:dyDescent="0.25">
      <c r="H166" s="28"/>
      <c r="I166" s="28" t="s">
        <v>64</v>
      </c>
      <c r="J166" s="33">
        <f>J163+J129+J85+J40</f>
        <v>65.468093579578067</v>
      </c>
      <c r="K166" s="46"/>
      <c r="M166" s="3"/>
    </row>
    <row r="167" spans="4:13" x14ac:dyDescent="0.25">
      <c r="H167" s="28"/>
      <c r="I167" s="28" t="s">
        <v>65</v>
      </c>
      <c r="J167" s="34">
        <f>J15</f>
        <v>19</v>
      </c>
      <c r="K167" s="50"/>
    </row>
    <row r="168" spans="4:13" x14ac:dyDescent="0.25">
      <c r="H168" s="31"/>
      <c r="I168" s="31" t="s">
        <v>66</v>
      </c>
      <c r="J168" s="32">
        <f>SUM(J166:J167)</f>
        <v>84.468093579578067</v>
      </c>
      <c r="K168" s="54"/>
    </row>
    <row r="169" spans="4:13" x14ac:dyDescent="0.25">
      <c r="K169" s="50"/>
    </row>
    <row r="170" spans="4:13" x14ac:dyDescent="0.25">
      <c r="K170" s="50"/>
    </row>
    <row r="171" spans="4:13" x14ac:dyDescent="0.25">
      <c r="K171" s="50"/>
    </row>
    <row r="172" spans="4:13" x14ac:dyDescent="0.25">
      <c r="D172" s="6"/>
      <c r="E172" s="6"/>
      <c r="F172" s="6"/>
      <c r="J172" s="6"/>
      <c r="K172" s="50"/>
    </row>
    <row r="173" spans="4:13" x14ac:dyDescent="0.25">
      <c r="K173" s="50"/>
    </row>
    <row r="174" spans="4:13" x14ac:dyDescent="0.25">
      <c r="K174" s="50"/>
    </row>
    <row r="175" spans="4:13" x14ac:dyDescent="0.25">
      <c r="K175" s="50"/>
    </row>
    <row r="987" spans="4:10" x14ac:dyDescent="0.25">
      <c r="D987" s="6"/>
      <c r="E987" s="6"/>
      <c r="F987" s="6"/>
      <c r="G987" s="8" t="s">
        <v>7</v>
      </c>
      <c r="H987" s="8"/>
      <c r="I987" s="8"/>
      <c r="J987" s="6"/>
    </row>
    <row r="988" spans="4:10" x14ac:dyDescent="0.25">
      <c r="D988" s="6"/>
      <c r="E988" s="6"/>
      <c r="F988" s="6"/>
      <c r="G988" s="8" t="s">
        <v>8</v>
      </c>
      <c r="H988" s="8"/>
      <c r="I988" s="8"/>
      <c r="J988" s="6"/>
    </row>
  </sheetData>
  <mergeCells count="91">
    <mergeCell ref="D50:J50"/>
    <mergeCell ref="D95:J95"/>
    <mergeCell ref="G47:I47"/>
    <mergeCell ref="G48:I48"/>
    <mergeCell ref="G49:I49"/>
    <mergeCell ref="G51:I51"/>
    <mergeCell ref="G52:I52"/>
    <mergeCell ref="G53:I53"/>
    <mergeCell ref="G54:I54"/>
    <mergeCell ref="G55:I55"/>
    <mergeCell ref="G56:I56"/>
    <mergeCell ref="G57:I57"/>
    <mergeCell ref="G59:I59"/>
    <mergeCell ref="G60:I60"/>
    <mergeCell ref="G61:I61"/>
    <mergeCell ref="G62:I62"/>
    <mergeCell ref="G3:I3"/>
    <mergeCell ref="G6:I6"/>
    <mergeCell ref="G7:I7"/>
    <mergeCell ref="G8:I8"/>
    <mergeCell ref="G9:I9"/>
    <mergeCell ref="G10:I10"/>
    <mergeCell ref="G18:I18"/>
    <mergeCell ref="G19:I19"/>
    <mergeCell ref="G20:I20"/>
    <mergeCell ref="G21:I21"/>
    <mergeCell ref="G23:I23"/>
    <mergeCell ref="G24:I24"/>
    <mergeCell ref="G25:I25"/>
    <mergeCell ref="G26:I26"/>
    <mergeCell ref="G28:I28"/>
    <mergeCell ref="G29:I29"/>
    <mergeCell ref="G30:I30"/>
    <mergeCell ref="G32:I32"/>
    <mergeCell ref="G33:I33"/>
    <mergeCell ref="G34:I34"/>
    <mergeCell ref="G35:I35"/>
    <mergeCell ref="G43:I43"/>
    <mergeCell ref="G44:I44"/>
    <mergeCell ref="G45:I45"/>
    <mergeCell ref="G46:I46"/>
    <mergeCell ref="D42:J42"/>
    <mergeCell ref="G72:I72"/>
    <mergeCell ref="G73:I73"/>
    <mergeCell ref="G74:I74"/>
    <mergeCell ref="G76:I76"/>
    <mergeCell ref="G77:I77"/>
    <mergeCell ref="G78:I78"/>
    <mergeCell ref="G79:I79"/>
    <mergeCell ref="G80:I80"/>
    <mergeCell ref="G88:I88"/>
    <mergeCell ref="G89:I89"/>
    <mergeCell ref="G90:I90"/>
    <mergeCell ref="G91:I91"/>
    <mergeCell ref="D87:J87"/>
    <mergeCell ref="G92:I92"/>
    <mergeCell ref="G93:I93"/>
    <mergeCell ref="G94:I94"/>
    <mergeCell ref="G96:I96"/>
    <mergeCell ref="G97:I97"/>
    <mergeCell ref="G98:I98"/>
    <mergeCell ref="G99:I99"/>
    <mergeCell ref="G100:I100"/>
    <mergeCell ref="G101:I101"/>
    <mergeCell ref="G102:I102"/>
    <mergeCell ref="G103:I103"/>
    <mergeCell ref="G105:I105"/>
    <mergeCell ref="G106:I106"/>
    <mergeCell ref="G107:I107"/>
    <mergeCell ref="G108:I108"/>
    <mergeCell ref="G118:I118"/>
    <mergeCell ref="G119:I119"/>
    <mergeCell ref="G120:I120"/>
    <mergeCell ref="G122:I122"/>
    <mergeCell ref="G124:I124"/>
    <mergeCell ref="G133:I133"/>
    <mergeCell ref="C132:J132"/>
    <mergeCell ref="G134:I134"/>
    <mergeCell ref="G135:I135"/>
    <mergeCell ref="G136:I136"/>
    <mergeCell ref="G147:I147"/>
    <mergeCell ref="G148:I148"/>
    <mergeCell ref="G155:I155"/>
    <mergeCell ref="G156:I156"/>
    <mergeCell ref="G157:I157"/>
    <mergeCell ref="G158:I158"/>
    <mergeCell ref="G149:I149"/>
    <mergeCell ref="G150:I150"/>
    <mergeCell ref="G151:I151"/>
    <mergeCell ref="G152:I152"/>
    <mergeCell ref="G153:I153"/>
  </mergeCells>
  <dataValidations count="3">
    <dataValidation type="list" allowBlank="1" showInputMessage="1" showErrorMessage="1" promptTitle="Please answer &quot;Yes&quot; or &quot;No.&quot;" sqref="G43:G49 G123:I123 H75:I75 H31:I31 G7:G10 H121:I121 G131:I131 G58:I58 G17:G35 H17:I17 H22:I22 H27:I27 G71:G78 H71:I71 G117:G121 H117:I117 G150:G154 H154:I154" xr:uid="{00000000-0002-0000-0300-000000000000}">
      <formula1>$G$987:$G$988</formula1>
    </dataValidation>
    <dataValidation allowBlank="1" showInputMessage="1" showErrorMessage="1" promptTitle="Please answer &quot;Yes&quot; or &quot;No.&quot;" sqref="G59:G62 G122 G133:G136 G16:I16 G124 H104:I104 H4:I4 G6 G79:G80 G88:G94 H146:I146 G3:G4 G96:G108 G146:G149 G155:G158" xr:uid="{00000000-0002-0000-0300-000001000000}"/>
    <dataValidation type="list" allowBlank="1" showInputMessage="1" showErrorMessage="1" sqref="G110:G115 G138:G143 G64:G69" xr:uid="{F949DB18-552D-4373-98F9-7EF6DE4A2C74}">
      <formula1>$G$987:$G$988</formula1>
    </dataValidation>
  </dataValidations>
  <pageMargins left="0.7" right="0.7" top="0.75" bottom="0.75" header="0.3" footer="0.3"/>
  <pageSetup scale="55" fitToHeight="0" orientation="portrait" r:id="rId1"/>
  <headerFooter>
    <oddHeader>&amp;A</oddHeader>
    <oddFooter>Page &amp;P of &amp;N</oddFooter>
  </headerFooter>
  <rowBreaks count="4" manualBreakCount="4">
    <brk id="16" min="1" max="8" man="1"/>
    <brk id="41" min="1" max="8" man="1"/>
    <brk id="86" min="1" max="8" man="1"/>
    <brk id="130" min="1" max="8" man="1"/>
  </rowBreaks>
  <extLst>
    <ext xmlns:x14="http://schemas.microsoft.com/office/spreadsheetml/2009/9/main" uri="{78C0D931-6437-407d-A8EE-F0AAD7539E65}">
      <x14:conditionalFormattings>
        <x14:conditionalFormatting xmlns:xm="http://schemas.microsoft.com/office/excel/2006/main">
          <x14:cfRule type="expression" priority="27" id="{FF7632FD-26F3-469F-B3E8-3B1EEF3EBBCA}">
            <xm:f>'My Project'!$E$44&gt;0</xm:f>
            <x14:dxf>
              <fill>
                <patternFill>
                  <bgColor theme="6" tint="0.39994506668294322"/>
                </patternFill>
              </fill>
            </x14:dxf>
          </x14:cfRule>
          <xm:sqref>E64:E70 J79:J80 G43:G49 G51:G57 G72:G74 G76:G78</xm:sqref>
        </x14:conditionalFormatting>
        <x14:conditionalFormatting xmlns:xm="http://schemas.microsoft.com/office/excel/2006/main">
          <x14:cfRule type="expression" priority="26" id="{7D57400D-5789-4A34-9CCA-173C3BA6CC0F}">
            <xm:f>'My Project'!$E$45&gt;0</xm:f>
            <x14:dxf>
              <fill>
                <patternFill>
                  <bgColor theme="6" tint="0.39994506668294322"/>
                </patternFill>
              </fill>
            </x14:dxf>
          </x14:cfRule>
          <xm:sqref>J124 G118:G120</xm:sqref>
        </x14:conditionalFormatting>
        <x14:conditionalFormatting xmlns:xm="http://schemas.microsoft.com/office/excel/2006/main">
          <x14:cfRule type="expression" priority="25" id="{CED96525-AA22-4B5C-A70C-5C41CF35FD7B}">
            <xm:f>'My Project'!$E$46&gt;0</xm:f>
            <x14:dxf>
              <fill>
                <patternFill>
                  <bgColor theme="6" tint="0.39994506668294322"/>
                </patternFill>
              </fill>
            </x14:dxf>
          </x14:cfRule>
          <xm:sqref>J147 J149 G133:G136 G150:G153</xm:sqref>
        </x14:conditionalFormatting>
        <x14:conditionalFormatting xmlns:xm="http://schemas.microsoft.com/office/excel/2006/main">
          <x14:cfRule type="expression" priority="23" id="{D1E28F8F-05FD-46EC-9F00-6C7704D1D8B1}">
            <xm:f>'My Project'!$E$44&gt;0</xm:f>
            <x14:dxf>
              <fill>
                <patternFill>
                  <bgColor theme="5" tint="0.59996337778862885"/>
                </patternFill>
              </fill>
            </x14:dxf>
          </x14:cfRule>
          <xm:sqref>G43:G49 G51:G57 G59:G62</xm:sqref>
        </x14:conditionalFormatting>
        <x14:conditionalFormatting xmlns:xm="http://schemas.microsoft.com/office/excel/2006/main">
          <x14:cfRule type="expression" priority="21" id="{C5AAF8B7-3E6D-44CB-B0E5-283CDA74DE12}">
            <xm:f>'My Project'!$E$46&gt;0</xm:f>
            <x14:dxf>
              <fill>
                <patternFill>
                  <bgColor theme="5" tint="0.59996337778862885"/>
                </patternFill>
              </fill>
            </x14:dxf>
          </x14:cfRule>
          <xm:sqref>G133:G136 G155:G158</xm:sqref>
        </x14:conditionalFormatting>
        <x14:conditionalFormatting xmlns:xm="http://schemas.microsoft.com/office/excel/2006/main">
          <x14:cfRule type="expression" priority="14" id="{6FC60E54-5A0C-48DB-A86F-5F15152AAD9C}">
            <xm:f>Parameters!$D$29&gt;0</xm:f>
            <x14:dxf>
              <fill>
                <patternFill>
                  <bgColor theme="6" tint="0.39994506668294322"/>
                </patternFill>
              </fill>
            </x14:dxf>
          </x14:cfRule>
          <xm:sqref>G18:G21 G23:G26 G28:G30 G32:G35</xm:sqref>
        </x14:conditionalFormatting>
        <x14:conditionalFormatting xmlns:xm="http://schemas.microsoft.com/office/excel/2006/main">
          <x14:cfRule type="expression" priority="12" id="{C0E9FA1E-E923-4E0E-955E-EB369F50F277}">
            <xm:f>'My Project'!$E$46&gt;0</xm:f>
            <x14:dxf>
              <fill>
                <patternFill>
                  <bgColor theme="6" tint="0.39994506668294322"/>
                </patternFill>
              </fill>
            </x14:dxf>
          </x14:cfRule>
          <xm:sqref>E138:E144</xm:sqref>
        </x14:conditionalFormatting>
        <x14:conditionalFormatting xmlns:xm="http://schemas.microsoft.com/office/excel/2006/main">
          <x14:cfRule type="expression" priority="10" id="{39EB80AB-2914-4612-BE82-A258EBBAA14A}">
            <xm:f>'My Project'!$E$45&gt;0</xm:f>
            <x14:dxf>
              <fill>
                <patternFill>
                  <bgColor theme="5" tint="0.59996337778862885"/>
                </patternFill>
              </fill>
            </x14:dxf>
          </x14:cfRule>
          <xm:sqref>G88:G94 G96:G103 G105:G108</xm:sqref>
        </x14:conditionalFormatting>
        <x14:conditionalFormatting xmlns:xm="http://schemas.microsoft.com/office/excel/2006/main">
          <x14:cfRule type="expression" priority="6" id="{32F530F6-78B9-40CE-BC06-1CAAC1A9EBCB}">
            <xm:f>'My Project'!$E$45&gt;0</xm:f>
            <x14:dxf>
              <fill>
                <patternFill>
                  <bgColor theme="6" tint="0.39994506668294322"/>
                </patternFill>
              </fill>
            </x14:dxf>
          </x14:cfRule>
          <xm:sqref>J122</xm:sqref>
        </x14:conditionalFormatting>
        <x14:conditionalFormatting xmlns:xm="http://schemas.microsoft.com/office/excel/2006/main">
          <x14:cfRule type="expression" priority="5" id="{5F4220FC-8A0B-4C57-A5AD-C605DC7DE042}">
            <xm:f>'My Project'!$E$46&gt;0</xm:f>
            <x14:dxf>
              <fill>
                <patternFill>
                  <bgColor theme="6" tint="0.39994506668294322"/>
                </patternFill>
              </fill>
            </x14:dxf>
          </x14:cfRule>
          <xm:sqref>J148</xm:sqref>
        </x14:conditionalFormatting>
        <x14:conditionalFormatting xmlns:xm="http://schemas.microsoft.com/office/excel/2006/main">
          <x14:cfRule type="expression" priority="4" id="{3BD3346E-8A01-4246-994C-202960552FC9}">
            <xm:f>'My Project'!$E$44&gt;0</xm:f>
            <x14:dxf>
              <fill>
                <patternFill>
                  <bgColor theme="6" tint="0.39994506668294322"/>
                </patternFill>
              </fill>
            </x14:dxf>
          </x14:cfRule>
          <xm:sqref>G64:G69</xm:sqref>
        </x14:conditionalFormatting>
        <x14:conditionalFormatting xmlns:xm="http://schemas.microsoft.com/office/excel/2006/main">
          <x14:cfRule type="expression" priority="3" id="{77A36C59-0A6F-4224-A0EF-E0BEC5E697AE}">
            <xm:f>'My Project'!$E$45&gt;0</xm:f>
            <x14:dxf>
              <fill>
                <patternFill>
                  <bgColor theme="6" tint="0.39994506668294322"/>
                </patternFill>
              </fill>
            </x14:dxf>
          </x14:cfRule>
          <xm:sqref>G110:G115</xm:sqref>
        </x14:conditionalFormatting>
        <x14:conditionalFormatting xmlns:xm="http://schemas.microsoft.com/office/excel/2006/main">
          <x14:cfRule type="expression" priority="2" id="{A5B63829-CF0F-4CEE-A8D3-9C99C1DC8853}">
            <xm:f>'My Project'!$E$46&gt;0</xm:f>
            <x14:dxf>
              <fill>
                <patternFill>
                  <bgColor theme="6" tint="0.39994506668294322"/>
                </patternFill>
              </fill>
            </x14:dxf>
          </x14:cfRule>
          <xm:sqref>G138:G143</xm:sqref>
        </x14:conditionalFormatting>
        <x14:conditionalFormatting xmlns:xm="http://schemas.microsoft.com/office/excel/2006/main">
          <x14:cfRule type="expression" priority="1" id="{BD4E27F1-E8AF-4654-A066-69996AE97F48}">
            <xm:f>'My Project'!$E$44&gt;0</xm:f>
            <x14:dxf>
              <fill>
                <patternFill>
                  <bgColor theme="6" tint="0.39994506668294322"/>
                </patternFill>
              </fill>
            </x14:dxf>
          </x14:cfRule>
          <xm:sqref>E110:E116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B2:E35"/>
  <sheetViews>
    <sheetView showGridLines="0" workbookViewId="0">
      <selection activeCell="B2" sqref="B2"/>
    </sheetView>
  </sheetViews>
  <sheetFormatPr defaultRowHeight="15" x14ac:dyDescent="0.25"/>
  <cols>
    <col min="2" max="2" width="11.140625" style="12" bestFit="1" customWidth="1"/>
    <col min="3" max="3" width="11.5703125" bestFit="1" customWidth="1"/>
    <col min="4" max="4" width="9.7109375" bestFit="1" customWidth="1"/>
    <col min="5" max="5" width="54.85546875" bestFit="1" customWidth="1"/>
  </cols>
  <sheetData>
    <row r="2" spans="2:5" x14ac:dyDescent="0.25">
      <c r="B2" s="146" t="s">
        <v>315</v>
      </c>
    </row>
    <row r="4" spans="2:5" x14ac:dyDescent="0.25">
      <c r="B4" s="5" t="s">
        <v>114</v>
      </c>
      <c r="C4" s="22"/>
    </row>
    <row r="5" spans="2:5" x14ac:dyDescent="0.25">
      <c r="B5" s="5"/>
      <c r="C5" s="22" t="s">
        <v>70</v>
      </c>
    </row>
    <row r="6" spans="2:5" x14ac:dyDescent="0.25">
      <c r="B6" s="60" t="s">
        <v>71</v>
      </c>
      <c r="C6" s="112">
        <f>'My Project'!D5</f>
        <v>10000</v>
      </c>
      <c r="D6" s="109">
        <f>'My Project'!E5</f>
        <v>0.15384615384615385</v>
      </c>
      <c r="E6" s="61" t="s">
        <v>72</v>
      </c>
    </row>
    <row r="7" spans="2:5" x14ac:dyDescent="0.25">
      <c r="B7" s="60" t="s">
        <v>73</v>
      </c>
      <c r="C7" s="112">
        <f>'My Project'!D6</f>
        <v>55000</v>
      </c>
      <c r="D7" s="109">
        <f>'My Project'!E6</f>
        <v>0.84615384615384615</v>
      </c>
      <c r="E7" s="61" t="s">
        <v>74</v>
      </c>
    </row>
    <row r="8" spans="2:5" x14ac:dyDescent="0.25">
      <c r="B8" s="60" t="s">
        <v>75</v>
      </c>
      <c r="C8" s="238">
        <f>'My Project'!D7</f>
        <v>2000</v>
      </c>
      <c r="D8" s="239">
        <f>'My Project'!E7</f>
        <v>3.0769230769230771E-2</v>
      </c>
      <c r="E8" s="209" t="s">
        <v>250</v>
      </c>
    </row>
    <row r="9" spans="2:5" x14ac:dyDescent="0.25">
      <c r="B9" s="66" t="s">
        <v>77</v>
      </c>
      <c r="C9" s="113">
        <f>'My Project'!D8</f>
        <v>10000</v>
      </c>
      <c r="D9" s="111">
        <f>'My Project'!E8</f>
        <v>0.15384615384615385</v>
      </c>
      <c r="E9" s="65" t="s">
        <v>76</v>
      </c>
    </row>
    <row r="10" spans="2:5" x14ac:dyDescent="0.25">
      <c r="B10" s="69" t="s">
        <v>79</v>
      </c>
      <c r="C10" s="147">
        <f>'My Project'!D9</f>
        <v>65000</v>
      </c>
      <c r="D10" s="148">
        <f>'My Project'!E9</f>
        <v>1</v>
      </c>
      <c r="E10" s="70" t="s">
        <v>78</v>
      </c>
    </row>
    <row r="11" spans="2:5" x14ac:dyDescent="0.25">
      <c r="B11" s="60" t="s">
        <v>271</v>
      </c>
      <c r="C11" s="112">
        <f>'My Project'!D10</f>
        <v>43000</v>
      </c>
      <c r="D11" s="109">
        <f>'My Project'!E10</f>
        <v>0.66153846153846152</v>
      </c>
      <c r="E11" t="s">
        <v>227</v>
      </c>
    </row>
    <row r="12" spans="2:5" x14ac:dyDescent="0.25">
      <c r="C12" s="18"/>
      <c r="D12" s="19"/>
    </row>
    <row r="13" spans="2:5" x14ac:dyDescent="0.25">
      <c r="C13" s="154" t="s">
        <v>80</v>
      </c>
      <c r="D13" s="19"/>
    </row>
    <row r="14" spans="2:5" x14ac:dyDescent="0.25">
      <c r="B14" s="60" t="s">
        <v>187</v>
      </c>
      <c r="C14" s="112">
        <f>'My Project'!D20</f>
        <v>35020100.538232371</v>
      </c>
      <c r="D14" s="109"/>
      <c r="E14" s="61"/>
    </row>
    <row r="15" spans="2:5" x14ac:dyDescent="0.25">
      <c r="B15" s="66" t="s">
        <v>188</v>
      </c>
      <c r="C15" s="113">
        <f>'My Project'!D30</f>
        <v>1325100.5026911618</v>
      </c>
      <c r="D15" s="111"/>
      <c r="E15" s="65"/>
    </row>
    <row r="16" spans="2:5" x14ac:dyDescent="0.25">
      <c r="B16" s="69" t="s">
        <v>88</v>
      </c>
      <c r="C16" s="147">
        <f>C14+C15</f>
        <v>36345201.040923536</v>
      </c>
      <c r="D16" s="148">
        <v>1</v>
      </c>
      <c r="E16" s="70" t="s">
        <v>89</v>
      </c>
    </row>
    <row r="17" spans="2:5" x14ac:dyDescent="0.25">
      <c r="B17" s="13"/>
      <c r="C17" s="18"/>
      <c r="D17" s="19"/>
    </row>
    <row r="18" spans="2:5" x14ac:dyDescent="0.25">
      <c r="B18" s="13"/>
      <c r="C18" s="22" t="s">
        <v>90</v>
      </c>
      <c r="D18" s="19"/>
    </row>
    <row r="19" spans="2:5" x14ac:dyDescent="0.25">
      <c r="B19" s="149"/>
      <c r="C19" s="112">
        <f>'My Project'!D33</f>
        <v>0</v>
      </c>
      <c r="D19" s="109">
        <f>IF(C19&gt;0,C19/$C$23,0)</f>
        <v>0</v>
      </c>
      <c r="E19" s="61" t="s">
        <v>91</v>
      </c>
    </row>
    <row r="20" spans="2:5" x14ac:dyDescent="0.25">
      <c r="B20" s="149"/>
      <c r="C20" s="112">
        <f>'My Project'!D34</f>
        <v>36345201.040923536</v>
      </c>
      <c r="D20" s="109">
        <f>IF(C20&gt;0,C20/$C$23,0)</f>
        <v>1</v>
      </c>
      <c r="E20" s="61" t="s">
        <v>92</v>
      </c>
    </row>
    <row r="21" spans="2:5" x14ac:dyDescent="0.25">
      <c r="B21" s="150" t="s">
        <v>93</v>
      </c>
      <c r="C21" s="112">
        <f>'My Project'!D35</f>
        <v>0</v>
      </c>
      <c r="D21" s="109">
        <f>IF(C21&gt;0,C21/$C$23,0)</f>
        <v>0</v>
      </c>
      <c r="E21" s="61" t="s">
        <v>94</v>
      </c>
    </row>
    <row r="22" spans="2:5" x14ac:dyDescent="0.25">
      <c r="B22" s="152" t="s">
        <v>95</v>
      </c>
      <c r="C22" s="113">
        <f>'My Project'!D36</f>
        <v>0</v>
      </c>
      <c r="D22" s="111">
        <f>IF(C22&gt;0,C22/$C$23,0)</f>
        <v>0</v>
      </c>
      <c r="E22" s="65" t="s">
        <v>96</v>
      </c>
    </row>
    <row r="23" spans="2:5" x14ac:dyDescent="0.25">
      <c r="B23" s="151" t="s">
        <v>97</v>
      </c>
      <c r="C23" s="147">
        <f>SUM(C19:C22)</f>
        <v>36345201.040923536</v>
      </c>
      <c r="D23" s="148">
        <f>IF(C23&gt;0,C23/$C$23,0)</f>
        <v>1</v>
      </c>
      <c r="E23" s="70" t="s">
        <v>98</v>
      </c>
    </row>
    <row r="24" spans="2:5" x14ac:dyDescent="0.25">
      <c r="B24" s="60"/>
      <c r="C24" s="112">
        <f>SUM(C21:C22)</f>
        <v>0</v>
      </c>
      <c r="D24" s="109">
        <f>SUM(D21:D22)</f>
        <v>0</v>
      </c>
      <c r="E24" s="61" t="s">
        <v>6</v>
      </c>
    </row>
    <row r="25" spans="2:5" x14ac:dyDescent="0.25">
      <c r="B25" s="60"/>
      <c r="C25" s="112">
        <f>C16-C23</f>
        <v>0</v>
      </c>
      <c r="D25" s="109">
        <f>D16-D23</f>
        <v>0</v>
      </c>
      <c r="E25" s="61" t="s">
        <v>99</v>
      </c>
    </row>
    <row r="26" spans="2:5" x14ac:dyDescent="0.25">
      <c r="B26" s="13"/>
    </row>
    <row r="27" spans="2:5" x14ac:dyDescent="0.25">
      <c r="B27" s="13"/>
      <c r="C27" s="154" t="s">
        <v>12</v>
      </c>
      <c r="D27" s="19"/>
    </row>
    <row r="28" spans="2:5" x14ac:dyDescent="0.25">
      <c r="B28" s="60" t="s">
        <v>100</v>
      </c>
      <c r="C28" s="112">
        <f>'My Project'!D42</f>
        <v>0</v>
      </c>
      <c r="D28" s="109">
        <f>'My Project'!E42</f>
        <v>0</v>
      </c>
      <c r="E28" s="61" t="s">
        <v>101</v>
      </c>
    </row>
    <row r="29" spans="2:5" x14ac:dyDescent="0.25">
      <c r="B29" s="60" t="s">
        <v>189</v>
      </c>
      <c r="C29" s="112">
        <f>'My Project'!D43</f>
        <v>2369.8185787428761</v>
      </c>
      <c r="D29" s="109">
        <f>'My Project'!E43</f>
        <v>3.6458747365275018E-2</v>
      </c>
      <c r="E29" s="61" t="s">
        <v>184</v>
      </c>
    </row>
    <row r="30" spans="2:5" x14ac:dyDescent="0.25">
      <c r="B30" s="60" t="s">
        <v>102</v>
      </c>
      <c r="C30" s="112">
        <f>'My Project'!D44</f>
        <v>9941.2986382947838</v>
      </c>
      <c r="D30" s="109">
        <f>'My Project'!E44</f>
        <v>0.1529430559737659</v>
      </c>
      <c r="E30" s="61" t="s">
        <v>13</v>
      </c>
    </row>
    <row r="31" spans="2:5" x14ac:dyDescent="0.25">
      <c r="B31" s="60" t="s">
        <v>103</v>
      </c>
      <c r="C31" s="112">
        <f>'My Project'!D45</f>
        <v>8411.868078557125</v>
      </c>
      <c r="D31" s="109">
        <f>'My Project'!E45</f>
        <v>0.1529430559737659</v>
      </c>
      <c r="E31" s="61" t="s">
        <v>48</v>
      </c>
    </row>
    <row r="32" spans="2:5" x14ac:dyDescent="0.25">
      <c r="B32" s="66" t="s">
        <v>104</v>
      </c>
      <c r="C32" s="113">
        <f>'My Project'!D46</f>
        <v>42747.584144667562</v>
      </c>
      <c r="D32" s="111">
        <f>'My Project'!E46</f>
        <v>0.65765514068719322</v>
      </c>
      <c r="E32" s="65" t="s">
        <v>56</v>
      </c>
    </row>
    <row r="33" spans="2:5" x14ac:dyDescent="0.25">
      <c r="B33" s="69"/>
      <c r="C33" s="153">
        <f>'My Project'!D47</f>
        <v>63470.569440262349</v>
      </c>
      <c r="D33" s="148">
        <f>'My Project'!E47</f>
        <v>1</v>
      </c>
      <c r="E33" s="70" t="s">
        <v>105</v>
      </c>
    </row>
    <row r="34" spans="2:5" x14ac:dyDescent="0.25">
      <c r="D34" s="19"/>
    </row>
    <row r="35" spans="2:5" x14ac:dyDescent="0.25">
      <c r="C35" s="18"/>
      <c r="D35" s="19"/>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pageSetUpPr fitToPage="1"/>
  </sheetPr>
  <dimension ref="B3:L20"/>
  <sheetViews>
    <sheetView showGridLines="0" workbookViewId="0">
      <selection activeCell="B3" sqref="B3"/>
    </sheetView>
  </sheetViews>
  <sheetFormatPr defaultRowHeight="15" x14ac:dyDescent="0.25"/>
  <cols>
    <col min="2" max="2" width="24.85546875" bestFit="1" customWidth="1"/>
    <col min="3" max="5" width="12.7109375" customWidth="1"/>
    <col min="6" max="6" width="2.7109375" style="10" customWidth="1"/>
    <col min="7" max="8" width="11.85546875" customWidth="1"/>
  </cols>
  <sheetData>
    <row r="3" spans="2:12" x14ac:dyDescent="0.25">
      <c r="B3" s="259" t="s">
        <v>175</v>
      </c>
      <c r="C3" s="158"/>
      <c r="D3" s="158"/>
      <c r="E3" s="158"/>
      <c r="F3" s="159"/>
    </row>
    <row r="4" spans="2:12" ht="45" x14ac:dyDescent="0.25">
      <c r="B4" s="61"/>
      <c r="C4" s="155" t="s">
        <v>186</v>
      </c>
      <c r="D4" s="155" t="s">
        <v>67</v>
      </c>
      <c r="E4" s="155" t="s">
        <v>68</v>
      </c>
      <c r="G4" s="9"/>
      <c r="H4" s="9"/>
      <c r="I4" s="9"/>
      <c r="J4" s="10"/>
      <c r="K4" s="10"/>
      <c r="L4" s="10"/>
    </row>
    <row r="5" spans="2:12" x14ac:dyDescent="0.25">
      <c r="B5" t="s">
        <v>69</v>
      </c>
      <c r="C5" s="12">
        <v>23</v>
      </c>
      <c r="D5" s="260">
        <v>1</v>
      </c>
      <c r="E5" s="156">
        <f t="shared" ref="E5:E10" si="0">D5*C5</f>
        <v>23</v>
      </c>
      <c r="G5" s="9"/>
      <c r="H5" s="9"/>
      <c r="I5" s="9"/>
      <c r="J5" s="10"/>
      <c r="K5" s="10"/>
      <c r="L5" s="10"/>
    </row>
    <row r="6" spans="2:12" x14ac:dyDescent="0.25">
      <c r="B6" s="61" t="s">
        <v>6</v>
      </c>
      <c r="C6" s="60">
        <v>77</v>
      </c>
      <c r="D6" s="261">
        <v>0</v>
      </c>
      <c r="E6" s="156">
        <f t="shared" si="0"/>
        <v>0</v>
      </c>
      <c r="G6" s="14"/>
      <c r="H6" s="15"/>
      <c r="I6" s="11"/>
      <c r="J6" s="10"/>
      <c r="K6" s="10"/>
      <c r="L6" s="10"/>
    </row>
    <row r="7" spans="2:12" x14ac:dyDescent="0.25">
      <c r="B7" s="61" t="s">
        <v>13</v>
      </c>
      <c r="C7" s="60">
        <v>77</v>
      </c>
      <c r="D7" s="261">
        <v>1</v>
      </c>
      <c r="E7" s="156">
        <f t="shared" si="0"/>
        <v>77</v>
      </c>
      <c r="G7" s="14"/>
      <c r="H7" s="15"/>
      <c r="I7" s="11"/>
      <c r="J7" s="10"/>
      <c r="K7" s="10"/>
      <c r="L7" s="10"/>
    </row>
    <row r="8" spans="2:12" x14ac:dyDescent="0.25">
      <c r="B8" s="61" t="s">
        <v>48</v>
      </c>
      <c r="C8" s="60">
        <v>77</v>
      </c>
      <c r="D8" s="261">
        <v>1</v>
      </c>
      <c r="E8" s="156">
        <f t="shared" si="0"/>
        <v>77</v>
      </c>
      <c r="G8" s="14"/>
      <c r="H8" s="15"/>
      <c r="I8" s="11"/>
      <c r="J8" s="10"/>
      <c r="K8" s="10"/>
      <c r="L8" s="10"/>
    </row>
    <row r="9" spans="2:12" x14ac:dyDescent="0.25">
      <c r="B9" s="61" t="s">
        <v>56</v>
      </c>
      <c r="C9" s="60">
        <v>77</v>
      </c>
      <c r="D9" s="261">
        <v>1</v>
      </c>
      <c r="E9" s="156">
        <f t="shared" si="0"/>
        <v>77</v>
      </c>
      <c r="G9" s="14"/>
      <c r="H9" s="15"/>
      <c r="I9" s="11"/>
      <c r="J9" s="10"/>
      <c r="K9" s="10"/>
      <c r="L9" s="10"/>
    </row>
    <row r="10" spans="2:12" x14ac:dyDescent="0.25">
      <c r="B10" s="65" t="s">
        <v>174</v>
      </c>
      <c r="C10" s="66">
        <v>77</v>
      </c>
      <c r="D10" s="262">
        <v>1</v>
      </c>
      <c r="E10" s="157">
        <f t="shared" si="0"/>
        <v>77</v>
      </c>
      <c r="G10" s="14"/>
      <c r="H10" s="15"/>
      <c r="I10" s="11"/>
      <c r="J10" s="10"/>
      <c r="K10" s="10"/>
      <c r="L10" s="10"/>
    </row>
    <row r="11" spans="2:12" x14ac:dyDescent="0.25">
      <c r="C11" s="12"/>
      <c r="D11" s="12"/>
      <c r="G11" s="16"/>
      <c r="H11" s="15"/>
      <c r="I11" s="11"/>
      <c r="J11" s="10"/>
      <c r="K11" s="10"/>
      <c r="L11" s="10"/>
    </row>
    <row r="20" spans="2:2" x14ac:dyDescent="0.25">
      <c r="B20" s="1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How to use this worksheet</vt:lpstr>
      <vt:lpstr>My Project</vt:lpstr>
      <vt:lpstr>Expected Cost</vt:lpstr>
      <vt:lpstr>Consolidated Score Sheet</vt:lpstr>
      <vt:lpstr>Parameters</vt:lpstr>
      <vt:lpstr>Priorities</vt:lpstr>
      <vt:lpstr>'Consolidated Score Sheet'!Print_Area</vt:lpstr>
      <vt:lpstr>'Expected Cost'!Print_Area</vt:lpstr>
      <vt:lpstr>'How to use this worksheet'!Print_Area</vt:lpstr>
      <vt:lpstr>'My Project'!Print_Area</vt:lpstr>
      <vt:lpstr>Parameters!Print_Area</vt:lpstr>
      <vt:lpstr>Priorities!Print_Area</vt:lpstr>
      <vt:lpstr>'Consolidated Score Sheet'!Print_Titles</vt:lpstr>
      <vt:lpstr>'My Project'!Print_Titles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Wayne Doty</dc:creator>
  <cp:lastModifiedBy>Wayne Doty</cp:lastModifiedBy>
  <cp:lastPrinted>2017-10-24T17:02:54Z</cp:lastPrinted>
  <dcterms:created xsi:type="dcterms:W3CDTF">2013-12-09T22:48:24Z</dcterms:created>
  <dcterms:modified xsi:type="dcterms:W3CDTF">2021-07-15T20:08:06Z</dcterms:modified>
</cp:coreProperties>
</file>